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7" sheetId="1" r:id="rId1"/>
  </sheets>
  <definedNames>
    <definedName name="_xlnm._FilterDatabase" localSheetId="0" hidden="1">'прил 7'!$A$14:$H$279</definedName>
    <definedName name="_xlnm.Print_Titles" localSheetId="0">'прил 7'!$15:$15</definedName>
    <definedName name="_xlnm.Print_Area" localSheetId="0">'прил 7'!$A$2:$F$289</definedName>
  </definedNames>
  <calcPr fullCalcOnLoad="1"/>
</workbook>
</file>

<file path=xl/comments1.xml><?xml version="1.0" encoding="utf-8"?>
<comments xmlns="http://schemas.openxmlformats.org/spreadsheetml/2006/main">
  <authors>
    <author>User</author>
  </authors>
  <commentList>
    <comment ref="G30" authorId="0">
      <text>
        <r>
          <rPr>
            <b/>
            <sz val="8"/>
            <rFont val="Tahoma"/>
            <family val="0"/>
          </rPr>
          <t>User:</t>
        </r>
        <r>
          <rPr>
            <sz val="8"/>
            <rFont val="Tahoma"/>
            <family val="0"/>
          </rPr>
          <t xml:space="preserve">
дош отделения в школах пр. и ауп</t>
        </r>
      </text>
    </comment>
    <comment ref="H30" authorId="0">
      <text>
        <r>
          <rPr>
            <b/>
            <sz val="8"/>
            <rFont val="Tahoma"/>
            <family val="0"/>
          </rPr>
          <t>User:</t>
        </r>
        <r>
          <rPr>
            <sz val="8"/>
            <rFont val="Tahoma"/>
            <family val="0"/>
          </rPr>
          <t xml:space="preserve">
дош отделения в школах пр. и ауп</t>
        </r>
      </text>
    </comment>
    <comment ref="G32" authorId="0">
      <text>
        <r>
          <rPr>
            <b/>
            <sz val="8"/>
            <rFont val="Tahoma"/>
            <family val="0"/>
          </rPr>
          <t>User:</t>
        </r>
        <r>
          <rPr>
            <sz val="8"/>
            <rFont val="Tahoma"/>
            <family val="0"/>
          </rPr>
          <t xml:space="preserve">
+ПЛ. И РОД ПЛАТА 3523,336 Т.Р.
</t>
        </r>
      </text>
    </comment>
    <comment ref="H32"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<sst xmlns="http://schemas.openxmlformats.org/spreadsheetml/2006/main" count="930" uniqueCount="347">
  <si>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</si>
  <si>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</si>
  <si>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</si>
  <si>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</si>
  <si>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</si>
  <si>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</si>
  <si>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</si>
  <si>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</si>
  <si>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</si>
  <si>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</si>
  <si>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</si>
  <si>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</si>
  <si>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</si>
  <si>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43 1 01 13410</t>
  </si>
  <si>
    <t>43 1 01 13420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</si>
  <si>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</si>
  <si>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</si>
  <si>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</si>
  <si>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</si>
  <si>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</si>
  <si>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</si>
  <si>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43 2 01 13470</t>
  </si>
  <si>
    <t>43 2 01 13480</t>
  </si>
  <si>
    <t>43 3 00 00000</t>
  </si>
  <si>
    <t>Основное мероприятие"Повышение уровня общественной безопасности"</t>
  </si>
  <si>
    <t>44 0 00 00000</t>
  </si>
  <si>
    <t>43 3 01 00000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</si>
  <si>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</si>
  <si>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</si>
  <si>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</si>
  <si>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</si>
  <si>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</si>
  <si>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</si>
  <si>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</si>
  <si>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</si>
  <si>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</si>
  <si>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</si>
  <si>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</si>
  <si>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</si>
  <si>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</si>
  <si>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</si>
  <si>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</si>
  <si>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</si>
  <si>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</si>
  <si>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</si>
  <si>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</si>
  <si>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</si>
  <si>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</si>
  <si>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</si>
  <si>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</si>
  <si>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</si>
  <si>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</si>
  <si>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</si>
  <si>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</si>
  <si>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</si>
  <si>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</si>
  <si>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</si>
  <si>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</si>
  <si>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</si>
  <si>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</si>
  <si>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</si>
  <si>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</si>
  <si>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</si>
  <si>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</si>
  <si>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</si>
  <si>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</si>
  <si>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</si>
  <si>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</si>
  <si>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</si>
  <si>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</si>
  <si>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</si>
  <si>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</si>
  <si>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</si>
  <si>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</si>
  <si>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</si>
  <si>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</si>
  <si>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</si>
  <si>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</si>
  <si>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</si>
  <si>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</si>
  <si>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</si>
  <si>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</si>
  <si>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</si>
  <si>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</si>
  <si>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</si>
  <si>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</si>
  <si>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</si>
  <si>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</si>
  <si>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</si>
  <si>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</si>
  <si>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</si>
  <si>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</si>
  <si>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</si>
  <si>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</si>
  <si>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</si>
  <si>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</si>
  <si>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</si>
  <si>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</si>
  <si>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</si>
  <si>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</si>
  <si>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</si>
  <si>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</si>
  <si>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</si>
  <si>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</si>
  <si>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</si>
  <si>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</si>
  <si>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</si>
  <si>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</si>
  <si>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</si>
  <si>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</si>
  <si>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</si>
  <si>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</si>
  <si>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</si>
  <si>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</si>
  <si>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</si>
  <si>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</si>
  <si>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</si>
  <si>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</si>
  <si>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</si>
  <si>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</si>
  <si>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</si>
  <si>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</si>
  <si>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</si>
  <si>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</si>
  <si>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</si>
  <si>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</si>
  <si>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</si>
  <si>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</si>
  <si>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</si>
  <si>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</si>
  <si>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</si>
  <si>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</si>
  <si>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</si>
  <si>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</si>
  <si>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</si>
  <si>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</si>
  <si>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</si>
  <si>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</si>
  <si>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</si>
  <si>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</si>
  <si>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</si>
  <si>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</si>
  <si>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</si>
  <si>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</si>
  <si>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</si>
  <si>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</si>
  <si>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</si>
  <si>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</si>
  <si>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</si>
  <si>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</si>
  <si>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</si>
  <si>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</si>
  <si>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</si>
  <si>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</si>
  <si>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</si>
  <si>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</si>
  <si>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</si>
  <si>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</si>
  <si>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</si>
  <si>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</si>
  <si>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</si>
  <si>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</si>
  <si>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</si>
  <si>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</si>
  <si>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</si>
  <si>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</si>
  <si>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</si>
  <si>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</si>
  <si>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</si>
  <si>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</si>
  <si>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</si>
  <si>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</si>
  <si>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</si>
  <si>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</si>
  <si>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</si>
  <si>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</si>
  <si>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</si>
  <si>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</si>
  <si>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</si>
  <si>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</si>
  <si>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</si>
  <si>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</si>
  <si>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</si>
  <si>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</si>
  <si>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</si>
  <si>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</si>
  <si>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</si>
  <si>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</si>
  <si>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</si>
  <si>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</si>
  <si>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</si>
  <si>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</si>
  <si>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</si>
  <si>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</si>
  <si>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</si>
  <si>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</si>
  <si>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</si>
  <si>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</si>
  <si>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</si>
  <si>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</si>
  <si>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</si>
  <si>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</si>
  <si>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</si>
  <si>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</si>
  <si>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</si>
  <si>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</si>
  <si>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</si>
  <si>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</si>
  <si>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</si>
  <si>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</si>
  <si>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</si>
  <si>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</si>
  <si>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</si>
  <si>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</si>
  <si>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</si>
  <si>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</si>
  <si>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42 3 02 80560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</si>
  <si>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</si>
  <si>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</si>
  <si>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</si>
  <si>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</si>
  <si>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</si>
  <si>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</si>
  <si>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</si>
  <si>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</si>
  <si>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</si>
  <si>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</si>
  <si>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</si>
  <si>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</si>
  <si>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</si>
  <si>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</si>
  <si>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</si>
  <si>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</si>
  <si>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</si>
  <si>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</si>
  <si>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</si>
  <si>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</si>
  <si>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</si>
  <si>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</si>
  <si>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</si>
  <si>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Основное мероприятие"Оказание поддержки гражданам, постадавшим в результате пожара муниципального жилищного фонда"</t>
  </si>
  <si>
    <t>42 5 01 00000</t>
  </si>
  <si>
    <t>42 5 00 00000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</si>
  <si>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</si>
  <si>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</si>
  <si>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</si>
  <si>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</si>
  <si>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</si>
  <si>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</si>
  <si>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</si>
  <si>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</si>
  <si>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</si>
  <si>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</si>
  <si>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</si>
  <si>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</si>
  <si>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</si>
  <si>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</si>
  <si>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</si>
  <si>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</si>
  <si>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</si>
  <si>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</si>
  <si>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</si>
  <si>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</si>
  <si>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</si>
  <si>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</si>
  <si>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Подпрограмма "Развитие средств массовой информации на территории МО "Город Отрадное"</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</si>
  <si>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</si>
  <si>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</si>
  <si>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</si>
  <si>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</si>
  <si>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</si>
  <si>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</si>
  <si>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</si>
  <si>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</si>
  <si>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</si>
  <si>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</si>
  <si>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</si>
  <si>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</si>
  <si>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</si>
  <si>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</si>
  <si>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</si>
  <si>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</si>
  <si>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</si>
  <si>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</si>
  <si>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</si>
  <si>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</si>
  <si>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</si>
  <si>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</si>
  <si>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</si>
  <si>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</si>
  <si>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</si>
  <si>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</si>
  <si>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</si>
  <si>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</si>
  <si>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</si>
  <si>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</si>
  <si>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</si>
  <si>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</si>
  <si>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</si>
  <si>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</si>
  <si>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42 1 01 09602</t>
  </si>
  <si>
    <t>42 1 00 00000</t>
  </si>
  <si>
    <t>42 1 01 00000</t>
  </si>
  <si>
    <t xml:space="preserve">Мероприятия по разработке (актуализации) схемы газоснабжения МО "Город Отрадное" </t>
  </si>
  <si>
    <t>42 3 02 15680</t>
  </si>
  <si>
    <t>Проектирование и строительство инженерной и транспортной инфраструктуры</t>
  </si>
  <si>
    <t>42 3 02 70780</t>
  </si>
  <si>
    <t>42 3 02 S0780</t>
  </si>
  <si>
    <t xml:space="preserve">Мероприятия по капитальному ремонту (ремонту) помещений  МБУК  "КЦ"Фортуна" </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</si>
  <si>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</si>
  <si>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</si>
  <si>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</si>
  <si>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Исполнение судебных актов, вступивших в законную силу, по искам к муниципальному образованию</t>
  </si>
  <si>
    <t>Исполнение судебных актов</t>
  </si>
  <si>
    <t>98 9 09 10070</t>
  </si>
  <si>
    <t>830</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</si>
  <si>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</si>
  <si>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98 9 09 72020</t>
  </si>
  <si>
    <t xml:space="preserve">Мероприятия на подготовку и проведение мероприятий, посвященных Дню образования Ленинградской области </t>
  </si>
  <si>
    <t>98 9 09 72030</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</si>
  <si>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</si>
  <si>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Оказание поддержки гражданам, постадавшим в результате пожара муниципального жилищного фонда</t>
  </si>
  <si>
    <t>42 5 01 S0800</t>
  </si>
  <si>
    <t>42 5 01 70800</t>
  </si>
  <si>
    <t>Капитальный ремонт объектов культуры городских поселений Ленинградской области</t>
  </si>
  <si>
    <t>41 5 01 S0350</t>
  </si>
  <si>
    <t>98 9 09 03200</t>
  </si>
  <si>
    <t>Единовременное пособие на захоронение умершего (погибшего) "Почетного жителя г. Отрадное"</t>
  </si>
  <si>
    <t>41 5 01 70350</t>
  </si>
  <si>
    <t>42 2 01 72020</t>
  </si>
  <si>
    <t>42 2 01 74390</t>
  </si>
  <si>
    <t>42 2 01 S4390</t>
  </si>
  <si>
    <t>42 2 00 00000</t>
  </si>
  <si>
    <t>42 4 01 74390</t>
  </si>
  <si>
    <t xml:space="preserve">Обеспечение выплат стимулирующего характера работникам муниципальных учреждений культуры Ленинградской области </t>
  </si>
  <si>
    <t>41 5 01 70360</t>
  </si>
  <si>
    <t>Предоставление муниципальным бюджетным и автономным учреждениям субсидий</t>
  </si>
  <si>
    <t>98 9 09 00250</t>
  </si>
  <si>
    <t>Расходы за счет средств, переданных бюджетам муниципальных образований за счет средств резервного фонда Правительства Ленинградской области</t>
  </si>
  <si>
    <t>98 9 09 72120</t>
  </si>
  <si>
    <t>Мероприятия по строительству и реконструкции объектов водоснабжения, водоотведения и очистки сточных вод</t>
  </si>
  <si>
    <t>42 3 02 70250</t>
  </si>
  <si>
    <t>42 3 02 S0250</t>
  </si>
  <si>
    <t>98 9 09 10040</t>
  </si>
  <si>
    <t>98 9 09 00240</t>
  </si>
  <si>
    <t>Расходы на обеспечение деятельности муниципальных казенных учреждений</t>
  </si>
  <si>
    <t>от 23 декабря 2016 года №62)</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</si>
</sst>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9">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sz val="1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style="medium"/>
      <right style="thin"/>
      <top style="hair"/>
      <bottom style="thin"/>
    </border>
    <border>
      <left style="medium"/>
      <right style="thin"/>
      <top style="hair"/>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thin"/>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thin"/>
      <bottom style="thin"/>
    </border>
    <border>
      <left style="thin"/>
      <right style="hair"/>
      <top style="thin"/>
      <bottom style="thin"/>
    </border>
    <border>
      <left style="medium"/>
      <right style="thin"/>
      <top style="thin"/>
      <bottom>
        <color indexed="63"/>
      </bottom>
    </border>
    <border>
      <left style="thin"/>
      <right style="hair"/>
      <top>
        <color indexed="63"/>
      </top>
      <bottom>
        <color indexed="63"/>
      </bottom>
    </border>
    <border>
      <left style="thin"/>
      <right style="hair"/>
      <top style="hair"/>
      <bottom style="thin"/>
    </border>
    <border>
      <left style="thin"/>
      <right style="hair"/>
      <top style="thin"/>
      <bottom>
        <color indexed="63"/>
      </bottom>
    </border>
    <border>
      <left style="thin"/>
      <right>
        <color indexed="63"/>
      </right>
      <top style="hair"/>
      <bottom style="hair"/>
    </border>
    <border>
      <left style="medium"/>
      <right>
        <color indexed="63"/>
      </right>
      <top style="hair"/>
      <bottom style="thin"/>
    </border>
    <border>
      <left style="thin"/>
      <right style="hair"/>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
      <left style="medium"/>
      <right>
        <color indexed="63"/>
      </right>
      <top style="thin"/>
      <bottom style="hair"/>
    </border>
    <border>
      <left style="medium"/>
      <right style="thin"/>
      <top style="thin"/>
      <bottom style="hair"/>
    </border>
    <border>
      <left style="thin"/>
      <right style="thin"/>
      <top style="hair"/>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74">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0" fontId="15" fillId="0" borderId="32" xfId="0" applyFont="1" applyFill="1" applyBorder="1" applyAlignment="1">
      <alignment horizontal="left" vertical="center" wrapText="1"/>
    </xf>
    <xf numFmtId="176" fontId="1" fillId="0" borderId="0" xfId="0" applyNumberFormat="1" applyFont="1" applyFill="1" applyBorder="1" applyAlignment="1">
      <alignment horizontal="right"/>
    </xf>
    <xf numFmtId="0" fontId="3" fillId="0" borderId="0" xfId="0" applyFont="1" applyFill="1" applyAlignment="1">
      <alignment horizontal="right"/>
    </xf>
    <xf numFmtId="0" fontId="15" fillId="0" borderId="33" xfId="0" applyFont="1" applyFill="1" applyBorder="1" applyAlignment="1">
      <alignment horizontal="left" vertical="center" wrapText="1"/>
    </xf>
    <xf numFmtId="49" fontId="14" fillId="0" borderId="34"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15" xfId="0" applyNumberFormat="1" applyFont="1" applyFill="1" applyBorder="1" applyAlignment="1">
      <alignment horizontal="center"/>
    </xf>
    <xf numFmtId="176" fontId="1" fillId="4" borderId="37"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8" xfId="0" applyNumberFormat="1" applyFont="1" applyFill="1" applyBorder="1" applyAlignment="1">
      <alignment horizontal="center" wrapText="1"/>
    </xf>
    <xf numFmtId="49" fontId="16" fillId="22" borderId="38"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8" xfId="0" applyNumberFormat="1" applyFont="1" applyFill="1" applyBorder="1" applyAlignment="1">
      <alignment horizontal="center" wrapText="1"/>
    </xf>
    <xf numFmtId="49" fontId="16" fillId="0" borderId="38"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9" xfId="0" applyNumberFormat="1" applyFont="1" applyFill="1" applyBorder="1" applyAlignment="1">
      <alignment horizontal="center" wrapText="1"/>
    </xf>
    <xf numFmtId="49" fontId="16" fillId="0" borderId="39"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40"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42"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7" xfId="0" applyNumberFormat="1" applyFont="1" applyFill="1" applyBorder="1" applyAlignment="1">
      <alignment horizontal="center" wrapText="1"/>
    </xf>
    <xf numFmtId="49" fontId="16" fillId="0" borderId="37"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7" xfId="0" applyNumberFormat="1" applyFont="1" applyFill="1" applyBorder="1" applyAlignment="1">
      <alignment horizontal="center" wrapText="1"/>
    </xf>
    <xf numFmtId="49" fontId="16" fillId="22" borderId="37"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43"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7" xfId="0" applyNumberFormat="1" applyFont="1" applyFill="1" applyBorder="1" applyAlignment="1">
      <alignment horizontal="center" wrapText="1"/>
    </xf>
    <xf numFmtId="49" fontId="15" fillId="0" borderId="44"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5"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7"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0" fontId="15" fillId="0" borderId="28" xfId="0" applyNumberFormat="1" applyFont="1" applyFill="1" applyBorder="1" applyAlignment="1">
      <alignment horizontal="center"/>
    </xf>
    <xf numFmtId="49" fontId="15" fillId="0" borderId="44"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7" xfId="0" applyNumberFormat="1" applyFont="1" applyFill="1" applyBorder="1" applyAlignment="1">
      <alignment horizontal="center" wrapText="1"/>
    </xf>
    <xf numFmtId="49" fontId="16" fillId="4" borderId="37"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6" xfId="0" applyNumberFormat="1" applyFont="1" applyFill="1" applyBorder="1" applyAlignment="1">
      <alignment horizontal="center" wrapText="1"/>
    </xf>
    <xf numFmtId="49" fontId="15" fillId="0" borderId="46" xfId="0" applyNumberFormat="1" applyFont="1" applyFill="1" applyBorder="1" applyAlignment="1">
      <alignment horizontal="center" wrapText="1"/>
    </xf>
    <xf numFmtId="49" fontId="15" fillId="0" borderId="47" xfId="0" applyNumberFormat="1" applyFont="1" applyFill="1" applyBorder="1" applyAlignment="1">
      <alignment horizontal="center" wrapText="1"/>
    </xf>
    <xf numFmtId="176" fontId="14" fillId="0" borderId="46" xfId="0" applyNumberFormat="1" applyFont="1" applyFill="1" applyBorder="1" applyAlignment="1">
      <alignment horizontal="right"/>
    </xf>
    <xf numFmtId="176" fontId="15" fillId="0" borderId="15" xfId="0" applyNumberFormat="1" applyFont="1" applyFill="1" applyBorder="1" applyAlignment="1">
      <alignment horizontal="right"/>
    </xf>
    <xf numFmtId="176" fontId="15" fillId="0" borderId="46"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8" xfId="0" applyNumberFormat="1" applyFont="1" applyFill="1" applyBorder="1" applyAlignment="1">
      <alignment horizontal="center" wrapText="1"/>
    </xf>
    <xf numFmtId="49" fontId="16" fillId="4" borderId="48"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8"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8"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6"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8" xfId="0" applyNumberFormat="1" applyFont="1" applyFill="1" applyBorder="1" applyAlignment="1">
      <alignment horizontal="center" wrapText="1"/>
    </xf>
    <xf numFmtId="49" fontId="14" fillId="0" borderId="48" xfId="0" applyNumberFormat="1" applyFont="1" applyFill="1" applyBorder="1" applyAlignment="1">
      <alignment horizontal="center" wrapText="1"/>
    </xf>
    <xf numFmtId="49" fontId="16" fillId="0" borderId="48" xfId="0" applyNumberFormat="1" applyFont="1" applyFill="1" applyBorder="1" applyAlignment="1">
      <alignment horizontal="center" wrapText="1"/>
    </xf>
    <xf numFmtId="49" fontId="15" fillId="0" borderId="48"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9"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50" xfId="0" applyNumberFormat="1" applyFont="1" applyFill="1" applyBorder="1" applyAlignment="1">
      <alignment horizontal="center" wrapText="1"/>
    </xf>
    <xf numFmtId="176" fontId="17" fillId="0" borderId="50" xfId="0" applyNumberFormat="1" applyFont="1" applyFill="1" applyBorder="1" applyAlignment="1">
      <alignment horizontal="right"/>
    </xf>
    <xf numFmtId="176" fontId="1" fillId="22" borderId="37" xfId="0" applyNumberFormat="1" applyFont="1" applyFill="1" applyBorder="1" applyAlignment="1">
      <alignment horizontal="right"/>
    </xf>
    <xf numFmtId="176" fontId="14" fillId="0" borderId="10" xfId="0" applyNumberFormat="1" applyFont="1" applyFill="1" applyBorder="1" applyAlignment="1">
      <alignment horizontal="right" wrapText="1"/>
    </xf>
    <xf numFmtId="0" fontId="14" fillId="0" borderId="51" xfId="0" applyFont="1" applyFill="1" applyBorder="1" applyAlignment="1">
      <alignment horizontal="left" vertical="center" wrapText="1"/>
    </xf>
    <xf numFmtId="0" fontId="14" fillId="0" borderId="11" xfId="0" applyFont="1" applyBorder="1" applyAlignment="1">
      <alignment horizontal="center"/>
    </xf>
    <xf numFmtId="0" fontId="15" fillId="0" borderId="12" xfId="0" applyFont="1" applyBorder="1" applyAlignment="1">
      <alignment horizontal="center"/>
    </xf>
    <xf numFmtId="0" fontId="15" fillId="0" borderId="31" xfId="0" applyFont="1" applyBorder="1" applyAlignment="1">
      <alignment horizontal="center"/>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54" xfId="0" applyNumberFormat="1" applyFont="1" applyFill="1" applyBorder="1" applyAlignment="1">
      <alignment horizontal="left" wrapText="1"/>
    </xf>
    <xf numFmtId="0" fontId="14" fillId="22" borderId="55"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0" fontId="14" fillId="0" borderId="56" xfId="0" applyFont="1" applyFill="1" applyBorder="1" applyAlignment="1">
      <alignment horizontal="left" vertical="center" wrapText="1"/>
    </xf>
    <xf numFmtId="0" fontId="14"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0" fontId="14" fillId="0" borderId="34" xfId="0" applyNumberFormat="1" applyFont="1" applyFill="1" applyBorder="1" applyAlignment="1">
      <alignment horizontal="left" wrapText="1"/>
    </xf>
    <xf numFmtId="49" fontId="14" fillId="22" borderId="59" xfId="0" applyNumberFormat="1" applyFont="1" applyFill="1" applyBorder="1" applyAlignment="1">
      <alignment horizontal="left" wrapText="1"/>
    </xf>
    <xf numFmtId="49" fontId="14" fillId="0" borderId="34" xfId="0" applyNumberFormat="1" applyFont="1" applyFill="1" applyBorder="1" applyAlignment="1">
      <alignment horizontal="left" wrapText="1"/>
    </xf>
    <xf numFmtId="49" fontId="15" fillId="0" borderId="36" xfId="0" applyNumberFormat="1" applyFont="1" applyFill="1" applyBorder="1" applyAlignment="1">
      <alignment horizontal="left" wrapText="1"/>
    </xf>
    <xf numFmtId="49" fontId="15" fillId="0" borderId="6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5" fillId="0" borderId="61" xfId="0" applyNumberFormat="1" applyFont="1" applyFill="1" applyBorder="1" applyAlignment="1">
      <alignment horizontal="left" wrapText="1"/>
    </xf>
    <xf numFmtId="0" fontId="14" fillId="0" borderId="59" xfId="0" applyNumberFormat="1" applyFont="1" applyFill="1" applyBorder="1" applyAlignment="1">
      <alignment horizontal="left" wrapText="1"/>
    </xf>
    <xf numFmtId="49" fontId="15" fillId="0" borderId="62" xfId="0" applyNumberFormat="1" applyFont="1" applyFill="1" applyBorder="1" applyAlignment="1">
      <alignment horizontal="left" wrapText="1"/>
    </xf>
    <xf numFmtId="49" fontId="15" fillId="0" borderId="35"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0" fontId="14" fillId="0" borderId="64" xfId="0" applyNumberFormat="1" applyFont="1" applyFill="1" applyBorder="1" applyAlignment="1">
      <alignment horizontal="left" wrapText="1"/>
    </xf>
    <xf numFmtId="0" fontId="14" fillId="0" borderId="6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4" fillId="0" borderId="66" xfId="0" applyFont="1" applyFill="1" applyBorder="1" applyAlignment="1">
      <alignment horizontal="left" vertical="center" wrapText="1"/>
    </xf>
    <xf numFmtId="49" fontId="14" fillId="0" borderId="55" xfId="0" applyNumberFormat="1" applyFont="1" applyFill="1" applyBorder="1" applyAlignment="1">
      <alignment horizontal="left" wrapText="1"/>
    </xf>
    <xf numFmtId="49" fontId="15" fillId="0" borderId="67" xfId="0" applyNumberFormat="1" applyFont="1" applyFill="1" applyBorder="1" applyAlignment="1">
      <alignment horizontal="left" vertical="center" wrapText="1"/>
    </xf>
    <xf numFmtId="49" fontId="15" fillId="0" borderId="68"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49" fontId="14" fillId="4" borderId="55"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178" fontId="14" fillId="22" borderId="66" xfId="0" applyNumberFormat="1" applyFont="1" applyFill="1" applyBorder="1" applyAlignment="1">
      <alignment horizontal="left" wrapText="1"/>
    </xf>
    <xf numFmtId="178" fontId="14" fillId="0" borderId="57" xfId="0" applyNumberFormat="1" applyFont="1" applyFill="1" applyBorder="1" applyAlignment="1">
      <alignment horizontal="left" wrapText="1"/>
    </xf>
    <xf numFmtId="178" fontId="14" fillId="22" borderId="55" xfId="0" applyNumberFormat="1" applyFont="1" applyFill="1" applyBorder="1" applyAlignment="1">
      <alignment horizontal="left" wrapText="1"/>
    </xf>
    <xf numFmtId="178" fontId="14" fillId="0" borderId="59" xfId="0" applyNumberFormat="1" applyFont="1" applyFill="1" applyBorder="1" applyAlignment="1">
      <alignment horizontal="left" wrapText="1"/>
    </xf>
    <xf numFmtId="49" fontId="14" fillId="0" borderId="57" xfId="0" applyNumberFormat="1" applyFont="1" applyFill="1" applyBorder="1" applyAlignment="1">
      <alignment horizontal="left" wrapText="1"/>
    </xf>
    <xf numFmtId="0" fontId="15" fillId="0" borderId="62"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0" fontId="14" fillId="22" borderId="63"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5" fillId="0" borderId="69" xfId="0" applyNumberFormat="1" applyFont="1" applyFill="1" applyBorder="1" applyAlignment="1">
      <alignment horizontal="left" wrapText="1"/>
    </xf>
    <xf numFmtId="49" fontId="14" fillId="4" borderId="67"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4" fillId="4" borderId="63" xfId="0" applyNumberFormat="1" applyFont="1" applyFill="1" applyBorder="1" applyAlignment="1">
      <alignment horizontal="left" wrapText="1"/>
    </xf>
    <xf numFmtId="0" fontId="14" fillId="22" borderId="65" xfId="0" applyNumberFormat="1" applyFont="1" applyFill="1" applyBorder="1" applyAlignment="1">
      <alignment horizontal="left" wrapText="1"/>
    </xf>
    <xf numFmtId="0" fontId="14" fillId="0" borderId="70"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5" fillId="0" borderId="60"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49" fontId="14" fillId="0" borderId="67" xfId="0" applyNumberFormat="1" applyFont="1" applyFill="1" applyBorder="1" applyAlignment="1">
      <alignment horizontal="left" wrapText="1"/>
    </xf>
    <xf numFmtId="49" fontId="15" fillId="0" borderId="67" xfId="0" applyNumberFormat="1" applyFont="1" applyFill="1" applyBorder="1" applyAlignment="1">
      <alignment horizontal="left" wrapText="1"/>
    </xf>
    <xf numFmtId="49" fontId="14" fillId="0" borderId="64" xfId="0" applyNumberFormat="1" applyFont="1" applyFill="1" applyBorder="1" applyAlignment="1">
      <alignment horizontal="left" wrapText="1"/>
    </xf>
    <xf numFmtId="49" fontId="14" fillId="0" borderId="65" xfId="0" applyNumberFormat="1" applyFont="1" applyFill="1" applyBorder="1" applyAlignment="1">
      <alignment horizontal="left" wrapText="1"/>
    </xf>
    <xf numFmtId="0" fontId="15" fillId="0" borderId="35"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4" fillId="0" borderId="67" xfId="0" applyNumberFormat="1" applyFont="1" applyFill="1" applyBorder="1" applyAlignment="1">
      <alignment horizontal="left" wrapText="1"/>
    </xf>
    <xf numFmtId="49" fontId="17" fillId="0" borderId="50" xfId="0" applyNumberFormat="1" applyFont="1" applyFill="1" applyBorder="1" applyAlignment="1">
      <alignment horizontal="left" wrapText="1"/>
    </xf>
    <xf numFmtId="0" fontId="13" fillId="0" borderId="0" xfId="0" applyFont="1" applyAlignment="1">
      <alignment/>
    </xf>
    <xf numFmtId="0" fontId="14" fillId="0" borderId="71" xfId="0" applyFont="1" applyFill="1" applyBorder="1" applyAlignment="1">
      <alignment horizontal="left" vertical="center" wrapText="1"/>
    </xf>
    <xf numFmtId="0" fontId="18" fillId="0" borderId="71" xfId="0" applyFont="1" applyBorder="1" applyAlignment="1">
      <alignment wrapText="1"/>
    </xf>
    <xf numFmtId="0" fontId="15" fillId="0" borderId="61" xfId="0" applyFont="1" applyFill="1" applyBorder="1" applyAlignment="1">
      <alignment horizontal="left" vertical="center" wrapText="1"/>
    </xf>
    <xf numFmtId="0" fontId="14" fillId="0" borderId="10" xfId="0" applyNumberFormat="1" applyFont="1" applyFill="1" applyBorder="1" applyAlignment="1">
      <alignment horizontal="center"/>
    </xf>
    <xf numFmtId="49" fontId="15" fillId="0" borderId="48" xfId="0" applyNumberFormat="1" applyFont="1" applyFill="1" applyBorder="1" applyAlignment="1">
      <alignment horizontal="center"/>
    </xf>
    <xf numFmtId="0" fontId="15" fillId="0" borderId="13" xfId="0" applyFont="1" applyBorder="1" applyAlignment="1">
      <alignment horizontal="center"/>
    </xf>
    <xf numFmtId="49" fontId="14" fillId="0" borderId="16" xfId="0" applyNumberFormat="1" applyFont="1" applyFill="1" applyBorder="1" applyAlignment="1">
      <alignment horizontal="center" wrapText="1"/>
    </xf>
    <xf numFmtId="49" fontId="15" fillId="0" borderId="18" xfId="0" applyNumberFormat="1" applyFont="1" applyFill="1" applyBorder="1" applyAlignment="1">
      <alignment horizontal="center"/>
    </xf>
    <xf numFmtId="49" fontId="14" fillId="0" borderId="54" xfId="0" applyNumberFormat="1" applyFont="1" applyFill="1" applyBorder="1" applyAlignment="1">
      <alignment horizontal="left" wrapText="1"/>
    </xf>
    <xf numFmtId="0" fontId="15" fillId="0" borderId="72" xfId="0" applyFont="1" applyFill="1" applyBorder="1" applyAlignment="1">
      <alignment horizontal="left" vertical="center" wrapText="1"/>
    </xf>
    <xf numFmtId="49" fontId="15" fillId="0" borderId="30" xfId="0" applyNumberFormat="1" applyFont="1" applyFill="1" applyBorder="1" applyAlignment="1">
      <alignment horizontal="center"/>
    </xf>
    <xf numFmtId="49" fontId="15" fillId="0" borderId="73" xfId="0" applyNumberFormat="1" applyFont="1" applyFill="1" applyBorder="1" applyAlignment="1">
      <alignment horizontal="center"/>
    </xf>
    <xf numFmtId="49" fontId="15" fillId="0" borderId="55" xfId="0" applyNumberFormat="1" applyFont="1" applyFill="1" applyBorder="1" applyAlignment="1">
      <alignment horizontal="center"/>
    </xf>
    <xf numFmtId="49" fontId="15" fillId="0" borderId="58" xfId="0" applyNumberFormat="1" applyFont="1" applyFill="1" applyBorder="1" applyAlignment="1">
      <alignment horizontal="center"/>
    </xf>
    <xf numFmtId="49" fontId="15" fillId="0" borderId="40" xfId="0" applyNumberFormat="1" applyFont="1" applyFill="1" applyBorder="1" applyAlignment="1">
      <alignment horizontal="center"/>
    </xf>
    <xf numFmtId="0" fontId="37" fillId="0" borderId="0" xfId="0" applyFont="1" applyAlignment="1">
      <alignment horizontal="right"/>
    </xf>
    <xf numFmtId="0" fontId="15" fillId="0" borderId="74" xfId="0" applyFont="1" applyFill="1" applyBorder="1" applyAlignment="1">
      <alignment horizontal="left" vertical="center" wrapText="1"/>
    </xf>
    <xf numFmtId="0" fontId="18" fillId="0" borderId="72" xfId="0" applyFont="1" applyBorder="1" applyAlignment="1">
      <alignment wrapText="1"/>
    </xf>
    <xf numFmtId="0" fontId="3" fillId="0" borderId="0" xfId="0" applyFont="1" applyFill="1" applyAlignment="1">
      <alignment horizontal="right"/>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xf numFmtId="0" fontId="14" fillId="0" borderId="64"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265</xdr:row>
      <xdr:rowOff>0</xdr:rowOff>
    </xdr:from>
    <xdr:to>
      <xdr:col>6</xdr:col>
      <xdr:colOff>0</xdr:colOff>
      <xdr:row>265</xdr:row>
      <xdr:rowOff>0</xdr:rowOff>
    </xdr:to>
    <xdr:sp>
      <xdr:nvSpPr>
        <xdr:cNvPr id="1" name="7740"/>
        <xdr:cNvSpPr>
          <a:spLocks/>
        </xdr:cNvSpPr>
      </xdr:nvSpPr>
      <xdr:spPr>
        <a:xfrm>
          <a:off x="9525" y="96088200"/>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265</xdr:row>
      <xdr:rowOff>0</xdr:rowOff>
    </xdr:from>
    <xdr:to>
      <xdr:col>6</xdr:col>
      <xdr:colOff>0</xdr:colOff>
      <xdr:row>265</xdr:row>
      <xdr:rowOff>0</xdr:rowOff>
    </xdr:to>
    <xdr:sp>
      <xdr:nvSpPr>
        <xdr:cNvPr id="2" name="7741"/>
        <xdr:cNvSpPr>
          <a:spLocks/>
        </xdr:cNvSpPr>
      </xdr:nvSpPr>
      <xdr:spPr>
        <a:xfrm>
          <a:off x="11391900" y="96088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3" name="7742"/>
        <xdr:cNvSpPr>
          <a:spLocks/>
        </xdr:cNvSpPr>
      </xdr:nvSpPr>
      <xdr:spPr>
        <a:xfrm>
          <a:off x="11391900" y="96088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4" name="7743"/>
        <xdr:cNvSpPr>
          <a:spLocks/>
        </xdr:cNvSpPr>
      </xdr:nvSpPr>
      <xdr:spPr>
        <a:xfrm>
          <a:off x="11391900" y="960882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265</xdr:row>
      <xdr:rowOff>0</xdr:rowOff>
    </xdr:from>
    <xdr:to>
      <xdr:col>6</xdr:col>
      <xdr:colOff>0</xdr:colOff>
      <xdr:row>265</xdr:row>
      <xdr:rowOff>0</xdr:rowOff>
    </xdr:to>
    <xdr:sp>
      <xdr:nvSpPr>
        <xdr:cNvPr id="5" name="7744"/>
        <xdr:cNvSpPr>
          <a:spLocks/>
        </xdr:cNvSpPr>
      </xdr:nvSpPr>
      <xdr:spPr>
        <a:xfrm>
          <a:off x="11391900" y="960882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249</xdr:row>
      <xdr:rowOff>0</xdr:rowOff>
    </xdr:from>
    <xdr:to>
      <xdr:col>8</xdr:col>
      <xdr:colOff>0</xdr:colOff>
      <xdr:row>249</xdr:row>
      <xdr:rowOff>0</xdr:rowOff>
    </xdr:to>
    <xdr:sp>
      <xdr:nvSpPr>
        <xdr:cNvPr id="6" name="7745"/>
        <xdr:cNvSpPr>
          <a:spLocks/>
        </xdr:cNvSpPr>
      </xdr:nvSpPr>
      <xdr:spPr>
        <a:xfrm>
          <a:off x="11391900" y="9094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249</xdr:row>
      <xdr:rowOff>0</xdr:rowOff>
    </xdr:from>
    <xdr:to>
      <xdr:col>8</xdr:col>
      <xdr:colOff>0</xdr:colOff>
      <xdr:row>249</xdr:row>
      <xdr:rowOff>0</xdr:rowOff>
    </xdr:to>
    <xdr:sp>
      <xdr:nvSpPr>
        <xdr:cNvPr id="7" name="7746"/>
        <xdr:cNvSpPr>
          <a:spLocks/>
        </xdr:cNvSpPr>
      </xdr:nvSpPr>
      <xdr:spPr>
        <a:xfrm>
          <a:off x="11391900" y="9094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8" name="7741"/>
        <xdr:cNvSpPr>
          <a:spLocks/>
        </xdr:cNvSpPr>
      </xdr:nvSpPr>
      <xdr:spPr>
        <a:xfrm>
          <a:off x="11391900" y="96088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9" name="7743"/>
        <xdr:cNvSpPr>
          <a:spLocks/>
        </xdr:cNvSpPr>
      </xdr:nvSpPr>
      <xdr:spPr>
        <a:xfrm>
          <a:off x="11391900" y="960882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249</xdr:row>
      <xdr:rowOff>0</xdr:rowOff>
    </xdr:from>
    <xdr:to>
      <xdr:col>8</xdr:col>
      <xdr:colOff>0</xdr:colOff>
      <xdr:row>249</xdr:row>
      <xdr:rowOff>0</xdr:rowOff>
    </xdr:to>
    <xdr:sp>
      <xdr:nvSpPr>
        <xdr:cNvPr id="10" name="7745"/>
        <xdr:cNvSpPr>
          <a:spLocks/>
        </xdr:cNvSpPr>
      </xdr:nvSpPr>
      <xdr:spPr>
        <a:xfrm>
          <a:off x="11391900" y="9094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11" name="7741"/>
        <xdr:cNvSpPr>
          <a:spLocks/>
        </xdr:cNvSpPr>
      </xdr:nvSpPr>
      <xdr:spPr>
        <a:xfrm>
          <a:off x="11391900" y="96088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265</xdr:row>
      <xdr:rowOff>0</xdr:rowOff>
    </xdr:from>
    <xdr:to>
      <xdr:col>6</xdr:col>
      <xdr:colOff>0</xdr:colOff>
      <xdr:row>265</xdr:row>
      <xdr:rowOff>0</xdr:rowOff>
    </xdr:to>
    <xdr:sp>
      <xdr:nvSpPr>
        <xdr:cNvPr id="12" name="7743"/>
        <xdr:cNvSpPr>
          <a:spLocks/>
        </xdr:cNvSpPr>
      </xdr:nvSpPr>
      <xdr:spPr>
        <a:xfrm>
          <a:off x="11391900" y="960882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249</xdr:row>
      <xdr:rowOff>0</xdr:rowOff>
    </xdr:from>
    <xdr:to>
      <xdr:col>8</xdr:col>
      <xdr:colOff>0</xdr:colOff>
      <xdr:row>249</xdr:row>
      <xdr:rowOff>0</xdr:rowOff>
    </xdr:to>
    <xdr:sp>
      <xdr:nvSpPr>
        <xdr:cNvPr id="13" name="7745"/>
        <xdr:cNvSpPr>
          <a:spLocks/>
        </xdr:cNvSpPr>
      </xdr:nvSpPr>
      <xdr:spPr>
        <a:xfrm>
          <a:off x="11391900" y="9094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9"/>
  <sheetViews>
    <sheetView showGridLines="0" tabSelected="1" zoomScaleSheetLayoutView="70" zoomScalePageLayoutView="0" workbookViewId="0" topLeftCell="A269">
      <selection activeCell="I271" sqref="I271"/>
    </sheetView>
  </sheetViews>
  <sheetFormatPr defaultColWidth="9.00390625" defaultRowHeight="12.75"/>
  <cols>
    <col min="1" max="1" width="81.00390625" style="250"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ht="23.25">
      <c r="A1" s="266"/>
    </row>
    <row r="2" spans="1:8" ht="18.75">
      <c r="A2" s="269" t="s">
        <v>142</v>
      </c>
      <c r="B2" s="269"/>
      <c r="C2" s="269"/>
      <c r="D2" s="269"/>
      <c r="E2" s="269"/>
      <c r="F2" s="269"/>
      <c r="G2" s="269"/>
      <c r="H2" s="269"/>
    </row>
    <row r="3" spans="1:8" ht="18.75">
      <c r="A3" s="269" t="s">
        <v>152</v>
      </c>
      <c r="B3" s="269"/>
      <c r="C3" s="269"/>
      <c r="D3" s="269"/>
      <c r="E3" s="269"/>
      <c r="F3" s="269"/>
      <c r="G3" s="269"/>
      <c r="H3" s="269"/>
    </row>
    <row r="4" spans="1:8" ht="18.75">
      <c r="A4" s="269" t="s">
        <v>180</v>
      </c>
      <c r="B4" s="269"/>
      <c r="C4" s="269"/>
      <c r="D4" s="269"/>
      <c r="E4" s="269"/>
      <c r="F4" s="269"/>
      <c r="G4" s="269"/>
      <c r="H4" s="269"/>
    </row>
    <row r="5" spans="1:8" ht="18.75">
      <c r="A5" s="269" t="s">
        <v>286</v>
      </c>
      <c r="B5" s="269"/>
      <c r="C5" s="269"/>
      <c r="D5" s="269"/>
      <c r="E5" s="269"/>
      <c r="F5" s="269"/>
      <c r="G5" s="269"/>
      <c r="H5" s="269"/>
    </row>
    <row r="6" spans="1:8" ht="18.75">
      <c r="A6" s="65"/>
      <c r="B6" s="65"/>
      <c r="C6" s="65"/>
      <c r="D6" s="65"/>
      <c r="E6" s="65"/>
      <c r="F6" s="65" t="s">
        <v>290</v>
      </c>
      <c r="G6" s="65"/>
      <c r="H6" s="65"/>
    </row>
    <row r="7" spans="1:8" ht="18.75">
      <c r="A7" s="65"/>
      <c r="B7" s="65"/>
      <c r="C7" s="269" t="s">
        <v>346</v>
      </c>
      <c r="D7" s="269"/>
      <c r="E7" s="269"/>
      <c r="F7" s="269"/>
      <c r="G7" s="65"/>
      <c r="H7" s="65"/>
    </row>
    <row r="8" spans="1:8" ht="18.75">
      <c r="A8" s="269" t="s">
        <v>157</v>
      </c>
      <c r="B8" s="269"/>
      <c r="C8" s="269"/>
      <c r="D8" s="269"/>
      <c r="E8" s="269"/>
      <c r="F8" s="269"/>
      <c r="G8" s="269"/>
      <c r="H8" s="269"/>
    </row>
    <row r="9" spans="1:8" ht="11.25" customHeight="1">
      <c r="A9" s="272"/>
      <c r="B9" s="272"/>
      <c r="C9" s="272"/>
      <c r="D9" s="272"/>
      <c r="E9" s="272"/>
      <c r="F9" s="272"/>
      <c r="G9" s="272"/>
      <c r="H9" s="272"/>
    </row>
    <row r="10" spans="1:8" ht="66.75" customHeight="1">
      <c r="A10" s="271" t="s">
        <v>158</v>
      </c>
      <c r="B10" s="271"/>
      <c r="C10" s="271"/>
      <c r="D10" s="271"/>
      <c r="E10" s="270"/>
      <c r="F10" s="270"/>
      <c r="G10" s="270"/>
      <c r="H10" s="270"/>
    </row>
    <row r="11" spans="1:8" ht="20.25">
      <c r="A11" s="270" t="s">
        <v>184</v>
      </c>
      <c r="B11" s="270"/>
      <c r="C11" s="270"/>
      <c r="D11" s="270"/>
      <c r="E11" s="270"/>
      <c r="F11" s="270"/>
      <c r="G11" s="270"/>
      <c r="H11" s="270"/>
    </row>
    <row r="12" spans="1:8" ht="21" customHeight="1">
      <c r="A12" s="270" t="s">
        <v>138</v>
      </c>
      <c r="B12" s="270"/>
      <c r="C12" s="270"/>
      <c r="D12" s="270"/>
      <c r="E12" s="270"/>
      <c r="F12" s="270"/>
      <c r="G12" s="270"/>
      <c r="H12" s="270"/>
    </row>
    <row r="13" spans="1:8" ht="13.5" customHeight="1" thickBot="1">
      <c r="A13" s="191"/>
      <c r="B13" s="1"/>
      <c r="C13" s="1"/>
      <c r="D13" s="1"/>
      <c r="E13" s="1"/>
      <c r="F13" s="1"/>
      <c r="G13" s="1"/>
      <c r="H13" s="1"/>
    </row>
    <row r="14" spans="1:8" ht="72" customHeight="1" thickTop="1">
      <c r="A14" s="18" t="s">
        <v>153</v>
      </c>
      <c r="B14" s="18" t="s">
        <v>140</v>
      </c>
      <c r="C14" s="18" t="s">
        <v>141</v>
      </c>
      <c r="D14" s="18" t="s">
        <v>38</v>
      </c>
      <c r="E14" s="18" t="s">
        <v>39</v>
      </c>
      <c r="F14" s="34" t="s">
        <v>135</v>
      </c>
      <c r="G14" s="15" t="s">
        <v>134</v>
      </c>
      <c r="H14" s="15" t="s">
        <v>135</v>
      </c>
    </row>
    <row r="15" spans="1:8" ht="13.5" thickBot="1">
      <c r="A15" s="16">
        <v>1</v>
      </c>
      <c r="B15" s="16">
        <v>2</v>
      </c>
      <c r="C15" s="16">
        <v>3</v>
      </c>
      <c r="D15" s="16">
        <v>4</v>
      </c>
      <c r="E15" s="16">
        <v>5</v>
      </c>
      <c r="F15" s="17">
        <v>6</v>
      </c>
      <c r="G15" s="17">
        <v>6</v>
      </c>
      <c r="H15" s="17">
        <v>7</v>
      </c>
    </row>
    <row r="16" spans="1:8" ht="51.75" customHeight="1" thickTop="1">
      <c r="A16" s="192" t="s">
        <v>188</v>
      </c>
      <c r="B16" s="72" t="s">
        <v>116</v>
      </c>
      <c r="C16" s="72"/>
      <c r="D16" s="72"/>
      <c r="E16" s="73"/>
      <c r="F16" s="74">
        <f>F17+F27+F48+F84+F103</f>
        <v>144996.50000000003</v>
      </c>
      <c r="G16" s="14" t="e">
        <f>#REF!+G27+#REF!+#REF!+#REF!+#REF!+#REF!+#REF!</f>
        <v>#REF!</v>
      </c>
      <c r="H16" s="14" t="e">
        <f>#REF!+H27+#REF!+#REF!+#REF!+#REF!+#REF!+#REF!</f>
        <v>#REF!</v>
      </c>
    </row>
    <row r="17" spans="1:8" ht="53.25" customHeight="1">
      <c r="A17" s="193" t="s">
        <v>119</v>
      </c>
      <c r="B17" s="75" t="s">
        <v>301</v>
      </c>
      <c r="C17" s="75"/>
      <c r="D17" s="76"/>
      <c r="E17" s="77"/>
      <c r="F17" s="78">
        <f>F18</f>
        <v>24575.500000000004</v>
      </c>
      <c r="G17" s="22"/>
      <c r="H17" s="22"/>
    </row>
    <row r="18" spans="1:8" ht="29.25" customHeight="1">
      <c r="A18" s="194" t="s">
        <v>115</v>
      </c>
      <c r="B18" s="79" t="s">
        <v>302</v>
      </c>
      <c r="C18" s="79"/>
      <c r="D18" s="80"/>
      <c r="E18" s="81"/>
      <c r="F18" s="82">
        <f>F19+F21+F23+F25</f>
        <v>24575.500000000004</v>
      </c>
      <c r="G18" s="71"/>
      <c r="H18" s="22"/>
    </row>
    <row r="19" spans="1:8" ht="71.25" customHeight="1">
      <c r="A19" s="195" t="s">
        <v>298</v>
      </c>
      <c r="B19" s="67" t="s">
        <v>299</v>
      </c>
      <c r="C19" s="53"/>
      <c r="D19" s="83"/>
      <c r="E19" s="84"/>
      <c r="F19" s="85">
        <f>F20</f>
        <v>9940.9</v>
      </c>
      <c r="G19" s="71"/>
      <c r="H19" s="22"/>
    </row>
    <row r="20" spans="1:8" ht="14.25" customHeight="1">
      <c r="A20" s="66" t="s">
        <v>169</v>
      </c>
      <c r="B20" s="68" t="s">
        <v>299</v>
      </c>
      <c r="C20" s="35" t="s">
        <v>160</v>
      </c>
      <c r="D20" s="86" t="s">
        <v>40</v>
      </c>
      <c r="E20" s="86" t="s">
        <v>41</v>
      </c>
      <c r="F20" s="87">
        <v>9940.9</v>
      </c>
      <c r="G20" s="71"/>
      <c r="H20" s="22"/>
    </row>
    <row r="21" spans="1:8" ht="68.25" customHeight="1">
      <c r="A21" s="195" t="s">
        <v>298</v>
      </c>
      <c r="B21" s="67" t="s">
        <v>300</v>
      </c>
      <c r="C21" s="70"/>
      <c r="D21" s="83"/>
      <c r="E21" s="84"/>
      <c r="F21" s="85">
        <f>F22</f>
        <v>4978.3</v>
      </c>
      <c r="G21" s="71"/>
      <c r="H21" s="22"/>
    </row>
    <row r="22" spans="1:8" ht="18.75" customHeight="1">
      <c r="A22" s="63" t="s">
        <v>169</v>
      </c>
      <c r="B22" s="69" t="s">
        <v>300</v>
      </c>
      <c r="C22" s="35" t="s">
        <v>160</v>
      </c>
      <c r="D22" s="86" t="s">
        <v>40</v>
      </c>
      <c r="E22" s="86" t="s">
        <v>41</v>
      </c>
      <c r="F22" s="88">
        <v>4978.3</v>
      </c>
      <c r="G22" s="71"/>
      <c r="H22" s="22"/>
    </row>
    <row r="23" spans="1:8" ht="35.25" customHeight="1">
      <c r="A23" s="196" t="s">
        <v>118</v>
      </c>
      <c r="B23" s="89" t="s">
        <v>117</v>
      </c>
      <c r="C23" s="70"/>
      <c r="D23" s="90"/>
      <c r="E23" s="90"/>
      <c r="F23" s="91">
        <f>F24</f>
        <v>4680.1</v>
      </c>
      <c r="G23" s="71"/>
      <c r="H23" s="22"/>
    </row>
    <row r="24" spans="1:8" ht="15.75">
      <c r="A24" s="197" t="s">
        <v>169</v>
      </c>
      <c r="B24" s="92" t="s">
        <v>117</v>
      </c>
      <c r="C24" s="56" t="s">
        <v>160</v>
      </c>
      <c r="D24" s="86" t="s">
        <v>40</v>
      </c>
      <c r="E24" s="56" t="s">
        <v>41</v>
      </c>
      <c r="F24" s="93">
        <f>4011.3-541.7+722+488.5</f>
        <v>4680.1</v>
      </c>
      <c r="G24" s="71"/>
      <c r="H24" s="22"/>
    </row>
    <row r="25" spans="1:8" ht="62.25" customHeight="1">
      <c r="A25" s="198" t="s">
        <v>297</v>
      </c>
      <c r="B25" s="94" t="s">
        <v>293</v>
      </c>
      <c r="C25" s="95"/>
      <c r="D25" s="95"/>
      <c r="E25" s="96"/>
      <c r="F25" s="97">
        <f>SUM(F26:F26)</f>
        <v>4976.2</v>
      </c>
      <c r="G25" s="71"/>
      <c r="H25" s="22"/>
    </row>
    <row r="26" spans="1:8" ht="15.75">
      <c r="A26" s="197" t="s">
        <v>169</v>
      </c>
      <c r="B26" s="56" t="s">
        <v>293</v>
      </c>
      <c r="C26" s="56" t="s">
        <v>160</v>
      </c>
      <c r="D26" s="56" t="s">
        <v>40</v>
      </c>
      <c r="E26" s="56" t="s">
        <v>41</v>
      </c>
      <c r="F26" s="93">
        <f>2833.2+4976.2-456.5-722-1654.7</f>
        <v>4976.2</v>
      </c>
      <c r="G26" s="22"/>
      <c r="H26" s="22"/>
    </row>
    <row r="27" spans="1:8" ht="30" customHeight="1">
      <c r="A27" s="199" t="s">
        <v>122</v>
      </c>
      <c r="B27" s="98" t="s">
        <v>332</v>
      </c>
      <c r="C27" s="99"/>
      <c r="D27" s="100"/>
      <c r="E27" s="101"/>
      <c r="F27" s="102">
        <f>F28+F45</f>
        <v>38197.00000000001</v>
      </c>
      <c r="G27" s="12" t="e">
        <f>G29+G31+G33+G46+#REF!+#REF!+#REF!+#REF!+#REF!+#REF!</f>
        <v>#REF!</v>
      </c>
      <c r="H27" s="12" t="e">
        <f>H29+H31+H33+H46+#REF!+#REF!+#REF!+#REF!+#REF!+#REF!</f>
        <v>#REF!</v>
      </c>
    </row>
    <row r="28" spans="1:8" ht="35.25" customHeight="1">
      <c r="A28" s="200" t="s">
        <v>120</v>
      </c>
      <c r="B28" s="36" t="s">
        <v>123</v>
      </c>
      <c r="C28" s="95"/>
      <c r="D28" s="95"/>
      <c r="E28" s="96"/>
      <c r="F28" s="103">
        <f>F29+F31+F33+F35+F37+F39+F41+F43</f>
        <v>35490.80000000001</v>
      </c>
      <c r="G28" s="12"/>
      <c r="H28" s="40"/>
    </row>
    <row r="29" spans="1:8" ht="18" customHeight="1">
      <c r="A29" s="198" t="s">
        <v>121</v>
      </c>
      <c r="B29" s="53" t="s">
        <v>124</v>
      </c>
      <c r="C29" s="95"/>
      <c r="D29" s="95"/>
      <c r="E29" s="96"/>
      <c r="F29" s="103">
        <f>F30</f>
        <v>10863.5</v>
      </c>
      <c r="G29" s="3">
        <f>G30</f>
        <v>17322.86</v>
      </c>
      <c r="H29" s="21">
        <f>H30</f>
        <v>19280.4</v>
      </c>
    </row>
    <row r="30" spans="1:8" ht="31.5">
      <c r="A30" s="201" t="s">
        <v>168</v>
      </c>
      <c r="B30" s="35" t="s">
        <v>124</v>
      </c>
      <c r="C30" s="86" t="s">
        <v>161</v>
      </c>
      <c r="D30" s="86" t="s">
        <v>42</v>
      </c>
      <c r="E30" s="56" t="s">
        <v>45</v>
      </c>
      <c r="F30" s="93">
        <v>10863.5</v>
      </c>
      <c r="G30" s="5">
        <v>17322.86</v>
      </c>
      <c r="H30" s="11">
        <v>19280.4</v>
      </c>
    </row>
    <row r="31" spans="1:8" ht="15.75" customHeight="1">
      <c r="A31" s="198" t="s">
        <v>125</v>
      </c>
      <c r="B31" s="36" t="s">
        <v>126</v>
      </c>
      <c r="C31" s="95"/>
      <c r="D31" s="95"/>
      <c r="E31" s="96"/>
      <c r="F31" s="103">
        <f>SUM(F32:F32)</f>
        <v>7237.9</v>
      </c>
      <c r="G31" s="3">
        <f>SUM(G32:G32)</f>
        <v>37340.600000000006</v>
      </c>
      <c r="H31" s="21">
        <f>SUM(H32:H32)</f>
        <v>38616.100000000006</v>
      </c>
    </row>
    <row r="32" spans="1:8" ht="31.5">
      <c r="A32" s="202" t="s">
        <v>168</v>
      </c>
      <c r="B32" s="35" t="s">
        <v>126</v>
      </c>
      <c r="C32" s="104" t="s">
        <v>161</v>
      </c>
      <c r="D32" s="104" t="s">
        <v>42</v>
      </c>
      <c r="E32" s="105" t="s">
        <v>45</v>
      </c>
      <c r="F32" s="106">
        <f>7313-75.1</f>
        <v>7237.9</v>
      </c>
      <c r="G32" s="4">
        <f>33817.3+3523.3</f>
        <v>37340.600000000006</v>
      </c>
      <c r="H32" s="10">
        <f>35092.8+3523.3</f>
        <v>38616.100000000006</v>
      </c>
    </row>
    <row r="33" spans="1:8" ht="22.5" customHeight="1">
      <c r="A33" s="198" t="s">
        <v>128</v>
      </c>
      <c r="B33" s="53" t="s">
        <v>127</v>
      </c>
      <c r="C33" s="95"/>
      <c r="D33" s="95"/>
      <c r="E33" s="96"/>
      <c r="F33" s="103">
        <f>SUM(F34:F34)</f>
        <v>11417.400000000001</v>
      </c>
      <c r="G33" s="3">
        <f>SUM(G34:G34)</f>
        <v>84.5</v>
      </c>
      <c r="H33" s="21">
        <f>SUM(H34:H34)</f>
        <v>85.4</v>
      </c>
    </row>
    <row r="34" spans="1:8" ht="34.5" customHeight="1">
      <c r="A34" s="202" t="s">
        <v>168</v>
      </c>
      <c r="B34" s="105" t="s">
        <v>127</v>
      </c>
      <c r="C34" s="104" t="s">
        <v>161</v>
      </c>
      <c r="D34" s="104" t="s">
        <v>42</v>
      </c>
      <c r="E34" s="105" t="s">
        <v>45</v>
      </c>
      <c r="F34" s="106">
        <f>11448.7-31.3</f>
        <v>11417.400000000001</v>
      </c>
      <c r="G34" s="4">
        <f>74.5+10</f>
        <v>84.5</v>
      </c>
      <c r="H34" s="10">
        <f>75.4+10</f>
        <v>85.4</v>
      </c>
    </row>
    <row r="35" spans="1:8" ht="34.5" customHeight="1">
      <c r="A35" s="203" t="s">
        <v>129</v>
      </c>
      <c r="B35" s="36" t="s">
        <v>130</v>
      </c>
      <c r="C35" s="107"/>
      <c r="D35" s="107"/>
      <c r="E35" s="107"/>
      <c r="F35" s="103">
        <f>F36</f>
        <v>1329.2</v>
      </c>
      <c r="G35" s="29"/>
      <c r="H35" s="30"/>
    </row>
    <row r="36" spans="1:8" ht="28.5" customHeight="1">
      <c r="A36" s="204" t="s">
        <v>168</v>
      </c>
      <c r="B36" s="35" t="s">
        <v>130</v>
      </c>
      <c r="C36" s="86" t="s">
        <v>161</v>
      </c>
      <c r="D36" s="86" t="s">
        <v>42</v>
      </c>
      <c r="E36" s="86" t="s">
        <v>45</v>
      </c>
      <c r="F36" s="93">
        <v>1329.2</v>
      </c>
      <c r="G36" s="29"/>
      <c r="H36" s="30"/>
    </row>
    <row r="37" spans="1:8" ht="28.5" customHeight="1">
      <c r="A37" s="203" t="s">
        <v>129</v>
      </c>
      <c r="B37" s="53" t="s">
        <v>131</v>
      </c>
      <c r="C37" s="107"/>
      <c r="D37" s="107"/>
      <c r="E37" s="107"/>
      <c r="F37" s="103">
        <f>F38</f>
        <v>3246.1000000000004</v>
      </c>
      <c r="G37" s="29"/>
      <c r="H37" s="30"/>
    </row>
    <row r="38" spans="1:8" ht="28.5" customHeight="1">
      <c r="A38" s="204" t="s">
        <v>168</v>
      </c>
      <c r="B38" s="56" t="s">
        <v>131</v>
      </c>
      <c r="C38" s="86" t="s">
        <v>161</v>
      </c>
      <c r="D38" s="86" t="s">
        <v>42</v>
      </c>
      <c r="E38" s="86" t="s">
        <v>45</v>
      </c>
      <c r="F38" s="93">
        <f>3027.8+218.3</f>
        <v>3246.1000000000004</v>
      </c>
      <c r="G38" s="29"/>
      <c r="H38" s="30"/>
    </row>
    <row r="39" spans="1:8" ht="28.5" customHeight="1">
      <c r="A39" s="184" t="s">
        <v>316</v>
      </c>
      <c r="B39" s="185" t="s">
        <v>329</v>
      </c>
      <c r="C39" s="107"/>
      <c r="D39" s="107"/>
      <c r="E39" s="107"/>
      <c r="F39" s="103">
        <f>F40</f>
        <v>800</v>
      </c>
      <c r="G39" s="29"/>
      <c r="H39" s="30"/>
    </row>
    <row r="40" spans="1:8" ht="28.5" customHeight="1">
      <c r="A40" s="253" t="s">
        <v>168</v>
      </c>
      <c r="B40" s="256" t="s">
        <v>329</v>
      </c>
      <c r="C40" s="86" t="s">
        <v>161</v>
      </c>
      <c r="D40" s="86" t="s">
        <v>42</v>
      </c>
      <c r="E40" s="86" t="s">
        <v>45</v>
      </c>
      <c r="F40" s="93">
        <v>800</v>
      </c>
      <c r="G40" s="29"/>
      <c r="H40" s="30"/>
    </row>
    <row r="41" spans="1:8" ht="28.5" customHeight="1">
      <c r="A41" s="251" t="s">
        <v>320</v>
      </c>
      <c r="B41" s="59" t="s">
        <v>330</v>
      </c>
      <c r="C41" s="107"/>
      <c r="D41" s="107"/>
      <c r="E41" s="107"/>
      <c r="F41" s="103">
        <f>F42</f>
        <v>527.4</v>
      </c>
      <c r="G41" s="29"/>
      <c r="H41" s="30"/>
    </row>
    <row r="42" spans="1:8" ht="28.5" customHeight="1">
      <c r="A42" s="188" t="s">
        <v>168</v>
      </c>
      <c r="B42" s="38" t="s">
        <v>330</v>
      </c>
      <c r="C42" s="86" t="s">
        <v>161</v>
      </c>
      <c r="D42" s="86" t="s">
        <v>42</v>
      </c>
      <c r="E42" s="86" t="s">
        <v>45</v>
      </c>
      <c r="F42" s="93">
        <v>527.4</v>
      </c>
      <c r="G42" s="29"/>
      <c r="H42" s="30"/>
    </row>
    <row r="43" spans="1:8" ht="28.5" customHeight="1">
      <c r="A43" s="251" t="s">
        <v>320</v>
      </c>
      <c r="B43" s="59" t="s">
        <v>331</v>
      </c>
      <c r="C43" s="107"/>
      <c r="D43" s="107"/>
      <c r="E43" s="107"/>
      <c r="F43" s="103">
        <f>F44</f>
        <v>69.3</v>
      </c>
      <c r="G43" s="29"/>
      <c r="H43" s="30"/>
    </row>
    <row r="44" spans="1:8" ht="28.5" customHeight="1">
      <c r="A44" s="188" t="s">
        <v>168</v>
      </c>
      <c r="B44" s="38" t="s">
        <v>331</v>
      </c>
      <c r="C44" s="108" t="s">
        <v>161</v>
      </c>
      <c r="D44" s="86" t="s">
        <v>42</v>
      </c>
      <c r="E44" s="86" t="s">
        <v>45</v>
      </c>
      <c r="F44" s="93">
        <v>69.3</v>
      </c>
      <c r="G44" s="29"/>
      <c r="H44" s="30"/>
    </row>
    <row r="45" spans="1:8" ht="24" customHeight="1">
      <c r="A45" s="259" t="s">
        <v>195</v>
      </c>
      <c r="B45" s="79" t="s">
        <v>197</v>
      </c>
      <c r="C45" s="110"/>
      <c r="D45" s="90"/>
      <c r="E45" s="90"/>
      <c r="F45" s="91">
        <f>F46</f>
        <v>2706.2</v>
      </c>
      <c r="G45" s="29"/>
      <c r="H45" s="30"/>
    </row>
    <row r="46" spans="1:8" ht="29.25" customHeight="1">
      <c r="A46" s="198" t="s">
        <v>196</v>
      </c>
      <c r="B46" s="53" t="s">
        <v>198</v>
      </c>
      <c r="C46" s="95"/>
      <c r="D46" s="95"/>
      <c r="E46" s="96"/>
      <c r="F46" s="103">
        <f>SUM(F47:F47)</f>
        <v>2706.2</v>
      </c>
      <c r="G46" s="3">
        <f>SUM(G47:G47)</f>
        <v>1287.8</v>
      </c>
      <c r="H46" s="21">
        <f>SUM(H47:H47)</f>
        <v>1433.3</v>
      </c>
    </row>
    <row r="47" spans="1:8" ht="32.25" customHeight="1">
      <c r="A47" s="201" t="s">
        <v>168</v>
      </c>
      <c r="B47" s="56" t="s">
        <v>198</v>
      </c>
      <c r="C47" s="86" t="s">
        <v>161</v>
      </c>
      <c r="D47" s="86" t="s">
        <v>40</v>
      </c>
      <c r="E47" s="56" t="s">
        <v>43</v>
      </c>
      <c r="F47" s="93">
        <v>2706.2</v>
      </c>
      <c r="G47" s="8">
        <v>1287.8</v>
      </c>
      <c r="H47" s="9">
        <v>1433.3</v>
      </c>
    </row>
    <row r="48" spans="1:8" ht="32.25" customHeight="1">
      <c r="A48" s="193" t="s">
        <v>199</v>
      </c>
      <c r="B48" s="39" t="s">
        <v>200</v>
      </c>
      <c r="C48" s="100"/>
      <c r="D48" s="100"/>
      <c r="E48" s="101"/>
      <c r="F48" s="102">
        <f>F49+F54+F76+F79</f>
        <v>48052.2</v>
      </c>
      <c r="G48" s="12"/>
      <c r="H48" s="40"/>
    </row>
    <row r="49" spans="1:8" ht="25.5" customHeight="1">
      <c r="A49" s="194" t="s">
        <v>201</v>
      </c>
      <c r="B49" s="36" t="s">
        <v>202</v>
      </c>
      <c r="C49" s="95"/>
      <c r="D49" s="95"/>
      <c r="E49" s="96"/>
      <c r="F49" s="103">
        <f>F50+F52</f>
        <v>4811.6</v>
      </c>
      <c r="G49" s="12"/>
      <c r="H49" s="40"/>
    </row>
    <row r="50" spans="1:8" ht="15.75" customHeight="1">
      <c r="A50" s="205" t="s">
        <v>102</v>
      </c>
      <c r="B50" s="36" t="s">
        <v>203</v>
      </c>
      <c r="C50" s="53"/>
      <c r="D50" s="95"/>
      <c r="E50" s="96"/>
      <c r="F50" s="103">
        <f>SUM(F51:F51)</f>
        <v>2959.6</v>
      </c>
      <c r="G50" s="12"/>
      <c r="H50" s="40"/>
    </row>
    <row r="51" spans="1:8" ht="33" customHeight="1">
      <c r="A51" s="206" t="s">
        <v>168</v>
      </c>
      <c r="B51" s="35" t="s">
        <v>203</v>
      </c>
      <c r="C51" s="60" t="s">
        <v>161</v>
      </c>
      <c r="D51" s="108" t="s">
        <v>40</v>
      </c>
      <c r="E51" s="108" t="s">
        <v>41</v>
      </c>
      <c r="F51" s="109">
        <f>3009.6-50</f>
        <v>2959.6</v>
      </c>
      <c r="G51" s="12"/>
      <c r="H51" s="40"/>
    </row>
    <row r="52" spans="1:8" ht="31.5" customHeight="1">
      <c r="A52" s="198" t="s">
        <v>204</v>
      </c>
      <c r="B52" s="36" t="s">
        <v>205</v>
      </c>
      <c r="C52" s="95"/>
      <c r="D52" s="95"/>
      <c r="E52" s="96"/>
      <c r="F52" s="103">
        <f>SUM(F53:F53)</f>
        <v>1852</v>
      </c>
      <c r="G52" s="12"/>
      <c r="H52" s="40"/>
    </row>
    <row r="53" spans="1:8" ht="33" customHeight="1">
      <c r="A53" s="207" t="s">
        <v>183</v>
      </c>
      <c r="B53" s="38" t="s">
        <v>205</v>
      </c>
      <c r="C53" s="108" t="s">
        <v>161</v>
      </c>
      <c r="D53" s="108" t="s">
        <v>40</v>
      </c>
      <c r="E53" s="60" t="s">
        <v>41</v>
      </c>
      <c r="F53" s="109">
        <v>1852</v>
      </c>
      <c r="G53" s="12"/>
      <c r="H53" s="40"/>
    </row>
    <row r="54" spans="1:8" ht="19.5" customHeight="1">
      <c r="A54" s="208" t="s">
        <v>206</v>
      </c>
      <c r="B54" s="57" t="s">
        <v>207</v>
      </c>
      <c r="C54" s="110"/>
      <c r="D54" s="110"/>
      <c r="E54" s="110"/>
      <c r="F54" s="82">
        <f>F55+F57+F59+F61+F63+F65+F67+F69+F71+F73</f>
        <v>35536.5</v>
      </c>
      <c r="G54" s="12"/>
      <c r="H54" s="40"/>
    </row>
    <row r="55" spans="1:8" ht="45" customHeight="1">
      <c r="A55" s="209" t="s">
        <v>208</v>
      </c>
      <c r="B55" s="37" t="s">
        <v>209</v>
      </c>
      <c r="C55" s="90"/>
      <c r="D55" s="90"/>
      <c r="E55" s="90"/>
      <c r="F55" s="91">
        <f>F56</f>
        <v>180.4</v>
      </c>
      <c r="G55" s="12"/>
      <c r="H55" s="40"/>
    </row>
    <row r="56" spans="1:8" ht="47.25" customHeight="1">
      <c r="A56" s="207" t="s">
        <v>132</v>
      </c>
      <c r="B56" s="38" t="s">
        <v>209</v>
      </c>
      <c r="C56" s="56" t="s">
        <v>144</v>
      </c>
      <c r="D56" s="86" t="s">
        <v>40</v>
      </c>
      <c r="E56" s="86" t="s">
        <v>44</v>
      </c>
      <c r="F56" s="93">
        <f>300-119.6</f>
        <v>180.4</v>
      </c>
      <c r="G56" s="12"/>
      <c r="H56" s="40"/>
    </row>
    <row r="57" spans="1:8" ht="36" customHeight="1">
      <c r="A57" s="210" t="s">
        <v>210</v>
      </c>
      <c r="B57" s="36" t="s">
        <v>211</v>
      </c>
      <c r="C57" s="90"/>
      <c r="D57" s="90"/>
      <c r="E57" s="90"/>
      <c r="F57" s="91">
        <f>F58</f>
        <v>3300</v>
      </c>
      <c r="G57" s="12"/>
      <c r="H57" s="40"/>
    </row>
    <row r="58" spans="1:8" ht="53.25" customHeight="1">
      <c r="A58" s="211" t="s">
        <v>132</v>
      </c>
      <c r="B58" s="35" t="s">
        <v>211</v>
      </c>
      <c r="C58" s="86" t="s">
        <v>144</v>
      </c>
      <c r="D58" s="86" t="s">
        <v>40</v>
      </c>
      <c r="E58" s="86" t="s">
        <v>44</v>
      </c>
      <c r="F58" s="93">
        <v>3300</v>
      </c>
      <c r="G58" s="12"/>
      <c r="H58" s="40"/>
    </row>
    <row r="59" spans="1:8" ht="15" customHeight="1">
      <c r="A59" s="205" t="s">
        <v>213</v>
      </c>
      <c r="B59" s="53" t="s">
        <v>214</v>
      </c>
      <c r="C59" s="53"/>
      <c r="D59" s="95"/>
      <c r="E59" s="96"/>
      <c r="F59" s="103">
        <f>SUM(F60:F60)</f>
        <v>2810.1</v>
      </c>
      <c r="G59" s="12"/>
      <c r="H59" s="40"/>
    </row>
    <row r="60" spans="1:8" ht="36" customHeight="1">
      <c r="A60" s="197" t="s">
        <v>150</v>
      </c>
      <c r="B60" s="56" t="s">
        <v>214</v>
      </c>
      <c r="C60" s="56" t="s">
        <v>161</v>
      </c>
      <c r="D60" s="56" t="s">
        <v>40</v>
      </c>
      <c r="E60" s="56" t="s">
        <v>44</v>
      </c>
      <c r="F60" s="93">
        <v>2810.1</v>
      </c>
      <c r="G60" s="12"/>
      <c r="H60" s="40"/>
    </row>
    <row r="61" spans="1:8" ht="29.25" customHeight="1">
      <c r="A61" s="251" t="s">
        <v>303</v>
      </c>
      <c r="B61" s="59" t="s">
        <v>304</v>
      </c>
      <c r="C61" s="53"/>
      <c r="D61" s="95"/>
      <c r="E61" s="96"/>
      <c r="F61" s="183">
        <f>F62</f>
        <v>100</v>
      </c>
      <c r="G61" s="182"/>
      <c r="H61" s="40"/>
    </row>
    <row r="62" spans="1:8" ht="30.75" customHeight="1">
      <c r="A62" s="188" t="s">
        <v>168</v>
      </c>
      <c r="B62" s="56" t="s">
        <v>304</v>
      </c>
      <c r="C62" s="56" t="s">
        <v>161</v>
      </c>
      <c r="D62" s="56" t="s">
        <v>40</v>
      </c>
      <c r="E62" s="56" t="s">
        <v>44</v>
      </c>
      <c r="F62" s="88">
        <f>199.9-99.9</f>
        <v>100</v>
      </c>
      <c r="G62" s="182"/>
      <c r="H62" s="40"/>
    </row>
    <row r="63" spans="1:8" ht="30.75" customHeight="1">
      <c r="A63" s="252" t="s">
        <v>305</v>
      </c>
      <c r="B63" s="59" t="s">
        <v>306</v>
      </c>
      <c r="C63" s="112"/>
      <c r="D63" s="90"/>
      <c r="E63" s="90"/>
      <c r="F63" s="152">
        <f>F64</f>
        <v>4500</v>
      </c>
      <c r="G63" s="182"/>
      <c r="H63" s="40"/>
    </row>
    <row r="64" spans="1:8" ht="18" customHeight="1">
      <c r="A64" s="253" t="s">
        <v>169</v>
      </c>
      <c r="B64" s="56" t="s">
        <v>306</v>
      </c>
      <c r="C64" s="56" t="s">
        <v>160</v>
      </c>
      <c r="D64" s="86" t="s">
        <v>40</v>
      </c>
      <c r="E64" s="86" t="s">
        <v>44</v>
      </c>
      <c r="F64" s="93">
        <v>4500</v>
      </c>
      <c r="G64" s="182"/>
      <c r="H64" s="40"/>
    </row>
    <row r="65" spans="1:8" ht="33" customHeight="1">
      <c r="A65" s="252" t="s">
        <v>305</v>
      </c>
      <c r="B65" s="59" t="s">
        <v>307</v>
      </c>
      <c r="C65" s="112"/>
      <c r="D65" s="90"/>
      <c r="E65" s="90"/>
      <c r="F65" s="152">
        <f>F66</f>
        <v>500</v>
      </c>
      <c r="G65" s="182"/>
      <c r="H65" s="40"/>
    </row>
    <row r="66" spans="1:8" ht="17.25" customHeight="1">
      <c r="A66" s="253" t="s">
        <v>169</v>
      </c>
      <c r="B66" s="56" t="s">
        <v>307</v>
      </c>
      <c r="C66" s="56" t="s">
        <v>160</v>
      </c>
      <c r="D66" s="86" t="s">
        <v>40</v>
      </c>
      <c r="E66" s="86" t="s">
        <v>44</v>
      </c>
      <c r="F66" s="93">
        <v>500</v>
      </c>
      <c r="G66" s="48"/>
      <c r="H66" s="49"/>
    </row>
    <row r="67" spans="1:8" ht="32.25" customHeight="1">
      <c r="A67" s="268" t="s">
        <v>340</v>
      </c>
      <c r="B67" s="59" t="s">
        <v>341</v>
      </c>
      <c r="C67" s="112"/>
      <c r="D67" s="90"/>
      <c r="E67" s="90"/>
      <c r="F67" s="152">
        <f>F68</f>
        <v>20000</v>
      </c>
      <c r="G67" s="48"/>
      <c r="H67" s="49"/>
    </row>
    <row r="68" spans="1:8" ht="17.25" customHeight="1">
      <c r="A68" s="63" t="s">
        <v>169</v>
      </c>
      <c r="B68" s="56" t="s">
        <v>341</v>
      </c>
      <c r="C68" s="56" t="s">
        <v>160</v>
      </c>
      <c r="D68" s="86" t="s">
        <v>40</v>
      </c>
      <c r="E68" s="86" t="s">
        <v>44</v>
      </c>
      <c r="F68" s="93">
        <v>20000</v>
      </c>
      <c r="G68" s="48"/>
      <c r="H68" s="49"/>
    </row>
    <row r="69" spans="1:8" ht="32.25" customHeight="1">
      <c r="A69" s="268" t="s">
        <v>340</v>
      </c>
      <c r="B69" s="59" t="s">
        <v>342</v>
      </c>
      <c r="C69" s="112"/>
      <c r="D69" s="90"/>
      <c r="E69" s="90"/>
      <c r="F69" s="152">
        <f>F70</f>
        <v>1415.9</v>
      </c>
      <c r="G69" s="48"/>
      <c r="H69" s="49"/>
    </row>
    <row r="70" spans="1:8" ht="17.25" customHeight="1">
      <c r="A70" s="63" t="s">
        <v>169</v>
      </c>
      <c r="B70" s="56" t="s">
        <v>342</v>
      </c>
      <c r="C70" s="56" t="s">
        <v>160</v>
      </c>
      <c r="D70" s="86" t="s">
        <v>40</v>
      </c>
      <c r="E70" s="86" t="s">
        <v>44</v>
      </c>
      <c r="F70" s="93">
        <f>3776.3-2360.4</f>
        <v>1415.9</v>
      </c>
      <c r="G70" s="48"/>
      <c r="H70" s="49"/>
    </row>
    <row r="71" spans="1:8" ht="17.25" customHeight="1">
      <c r="A71" s="273" t="s">
        <v>215</v>
      </c>
      <c r="B71" s="190" t="s">
        <v>216</v>
      </c>
      <c r="C71" s="150"/>
      <c r="D71" s="90"/>
      <c r="E71" s="90"/>
      <c r="F71" s="152">
        <f>F72</f>
        <v>1579.4</v>
      </c>
      <c r="G71" s="29"/>
      <c r="H71" s="30"/>
    </row>
    <row r="72" spans="1:8" ht="20.25" customHeight="1">
      <c r="A72" s="212" t="s">
        <v>169</v>
      </c>
      <c r="B72" s="56" t="s">
        <v>216</v>
      </c>
      <c r="C72" s="56" t="s">
        <v>160</v>
      </c>
      <c r="D72" s="86" t="s">
        <v>40</v>
      </c>
      <c r="E72" s="86" t="s">
        <v>40</v>
      </c>
      <c r="F72" s="93">
        <v>1579.4</v>
      </c>
      <c r="G72" s="29"/>
      <c r="H72" s="30"/>
    </row>
    <row r="73" spans="1:8" ht="45.75" customHeight="1">
      <c r="A73" s="213" t="s">
        <v>295</v>
      </c>
      <c r="B73" s="111" t="s">
        <v>294</v>
      </c>
      <c r="C73" s="112"/>
      <c r="D73" s="90"/>
      <c r="E73" s="90"/>
      <c r="F73" s="91">
        <f>F74+F75</f>
        <v>1150.6999999999998</v>
      </c>
      <c r="G73" s="29"/>
      <c r="H73" s="30"/>
    </row>
    <row r="74" spans="1:8" ht="21" customHeight="1">
      <c r="A74" s="214" t="s">
        <v>169</v>
      </c>
      <c r="B74" s="60" t="s">
        <v>294</v>
      </c>
      <c r="C74" s="60" t="s">
        <v>160</v>
      </c>
      <c r="D74" s="108" t="s">
        <v>40</v>
      </c>
      <c r="E74" s="108" t="s">
        <v>44</v>
      </c>
      <c r="F74" s="109">
        <f>387.9+263.2</f>
        <v>651.0999999999999</v>
      </c>
      <c r="G74" s="29"/>
      <c r="H74" s="30"/>
    </row>
    <row r="75" spans="1:8" ht="31.5" customHeight="1">
      <c r="A75" s="212" t="s">
        <v>168</v>
      </c>
      <c r="B75" s="56" t="s">
        <v>294</v>
      </c>
      <c r="C75" s="56" t="s">
        <v>161</v>
      </c>
      <c r="D75" s="86" t="s">
        <v>40</v>
      </c>
      <c r="E75" s="86" t="s">
        <v>44</v>
      </c>
      <c r="F75" s="93">
        <f>99.9+399.7</f>
        <v>499.6</v>
      </c>
      <c r="G75" s="29"/>
      <c r="H75" s="30"/>
    </row>
    <row r="76" spans="1:8" ht="31.5" customHeight="1">
      <c r="A76" s="215" t="s">
        <v>287</v>
      </c>
      <c r="B76" s="61" t="s">
        <v>217</v>
      </c>
      <c r="C76" s="113"/>
      <c r="D76" s="114"/>
      <c r="E76" s="114"/>
      <c r="F76" s="115">
        <f>F77</f>
        <v>330</v>
      </c>
      <c r="G76" s="29"/>
      <c r="H76" s="30"/>
    </row>
    <row r="77" spans="1:8" ht="111" customHeight="1">
      <c r="A77" s="196" t="s">
        <v>182</v>
      </c>
      <c r="B77" s="111" t="s">
        <v>218</v>
      </c>
      <c r="C77" s="112"/>
      <c r="D77" s="90"/>
      <c r="E77" s="90"/>
      <c r="F77" s="91">
        <f>F78</f>
        <v>330</v>
      </c>
      <c r="G77" s="29"/>
      <c r="H77" s="30"/>
    </row>
    <row r="78" spans="1:8" ht="33" customHeight="1">
      <c r="A78" s="206" t="s">
        <v>168</v>
      </c>
      <c r="B78" s="60" t="s">
        <v>218</v>
      </c>
      <c r="C78" s="60" t="s">
        <v>161</v>
      </c>
      <c r="D78" s="108" t="s">
        <v>40</v>
      </c>
      <c r="E78" s="108" t="s">
        <v>43</v>
      </c>
      <c r="F78" s="109">
        <f>600-270</f>
        <v>330</v>
      </c>
      <c r="G78" s="3" t="e">
        <f>SUM(#REF!)</f>
        <v>#REF!</v>
      </c>
      <c r="H78" s="21" t="e">
        <f>SUM(#REF!)</f>
        <v>#REF!</v>
      </c>
    </row>
    <row r="79" spans="1:8" ht="36" customHeight="1">
      <c r="A79" s="216" t="s">
        <v>219</v>
      </c>
      <c r="B79" s="79" t="s">
        <v>220</v>
      </c>
      <c r="C79" s="116"/>
      <c r="D79" s="110"/>
      <c r="E79" s="110"/>
      <c r="F79" s="82">
        <f>F80</f>
        <v>7374.1</v>
      </c>
      <c r="G79" s="29"/>
      <c r="H79" s="30"/>
    </row>
    <row r="80" spans="1:8" ht="34.5" customHeight="1">
      <c r="A80" s="194" t="s">
        <v>212</v>
      </c>
      <c r="B80" s="79" t="s">
        <v>221</v>
      </c>
      <c r="C80" s="116"/>
      <c r="D80" s="110"/>
      <c r="E80" s="110"/>
      <c r="F80" s="82">
        <f>SUM(F81:F83)</f>
        <v>7374.1</v>
      </c>
      <c r="G80" s="29"/>
      <c r="H80" s="30"/>
    </row>
    <row r="81" spans="1:8" ht="15.75">
      <c r="A81" s="217" t="s">
        <v>181</v>
      </c>
      <c r="B81" s="117" t="s">
        <v>221</v>
      </c>
      <c r="C81" s="117" t="s">
        <v>162</v>
      </c>
      <c r="D81" s="117" t="s">
        <v>40</v>
      </c>
      <c r="E81" s="117" t="s">
        <v>40</v>
      </c>
      <c r="F81" s="118">
        <f>5857.2+8.1+45+13.6+23.4+127.9</f>
        <v>6075.2</v>
      </c>
      <c r="G81" s="5">
        <v>150</v>
      </c>
      <c r="H81" s="11">
        <v>150</v>
      </c>
    </row>
    <row r="82" spans="1:8" ht="36" customHeight="1">
      <c r="A82" s="218" t="s">
        <v>168</v>
      </c>
      <c r="B82" s="105" t="s">
        <v>221</v>
      </c>
      <c r="C82" s="105" t="s">
        <v>161</v>
      </c>
      <c r="D82" s="105" t="s">
        <v>40</v>
      </c>
      <c r="E82" s="105" t="s">
        <v>40</v>
      </c>
      <c r="F82" s="106">
        <f>1258.3-8.1+31.4+0.2-126.7</f>
        <v>1155.1000000000001</v>
      </c>
      <c r="G82" s="41"/>
      <c r="H82" s="42"/>
    </row>
    <row r="83" spans="1:8" ht="18" customHeight="1">
      <c r="A83" s="201" t="s">
        <v>171</v>
      </c>
      <c r="B83" s="56" t="s">
        <v>222</v>
      </c>
      <c r="C83" s="56" t="s">
        <v>164</v>
      </c>
      <c r="D83" s="56" t="s">
        <v>40</v>
      </c>
      <c r="E83" s="56" t="s">
        <v>40</v>
      </c>
      <c r="F83" s="93">
        <f>145-1.2</f>
        <v>143.8</v>
      </c>
      <c r="G83" s="41"/>
      <c r="H83" s="42"/>
    </row>
    <row r="84" spans="1:8" ht="18" customHeight="1">
      <c r="A84" s="219" t="s">
        <v>224</v>
      </c>
      <c r="B84" s="99" t="s">
        <v>223</v>
      </c>
      <c r="C84" s="99"/>
      <c r="D84" s="100"/>
      <c r="E84" s="101"/>
      <c r="F84" s="102">
        <f>F85</f>
        <v>29829.100000000002</v>
      </c>
      <c r="G84" s="41"/>
      <c r="H84" s="42"/>
    </row>
    <row r="85" spans="1:8" ht="27.75" customHeight="1">
      <c r="A85" s="205" t="s">
        <v>225</v>
      </c>
      <c r="B85" s="53" t="s">
        <v>226</v>
      </c>
      <c r="C85" s="53"/>
      <c r="D85" s="95"/>
      <c r="E85" s="96"/>
      <c r="F85" s="103">
        <f>F86+F88+F91+F93+F95+F97+F99+F101</f>
        <v>29829.100000000002</v>
      </c>
      <c r="G85" s="41"/>
      <c r="H85" s="42"/>
    </row>
    <row r="86" spans="1:8" ht="30" customHeight="1">
      <c r="A86" s="205" t="s">
        <v>239</v>
      </c>
      <c r="B86" s="53" t="s">
        <v>227</v>
      </c>
      <c r="C86" s="53"/>
      <c r="D86" s="95"/>
      <c r="E86" s="96"/>
      <c r="F86" s="103">
        <f>SUM(F87:F87)</f>
        <v>3000.6</v>
      </c>
      <c r="G86" s="3">
        <f>SUM(G87:G87)</f>
        <v>0</v>
      </c>
      <c r="H86" s="21">
        <f>SUM(H87:H87)</f>
        <v>0</v>
      </c>
    </row>
    <row r="87" spans="1:8" ht="51" customHeight="1">
      <c r="A87" s="197" t="s">
        <v>132</v>
      </c>
      <c r="B87" s="56" t="s">
        <v>227</v>
      </c>
      <c r="C87" s="56" t="s">
        <v>144</v>
      </c>
      <c r="D87" s="56" t="s">
        <v>40</v>
      </c>
      <c r="E87" s="56" t="s">
        <v>43</v>
      </c>
      <c r="F87" s="93">
        <v>3000.6</v>
      </c>
      <c r="G87" s="8">
        <v>0</v>
      </c>
      <c r="H87" s="9">
        <v>0</v>
      </c>
    </row>
    <row r="88" spans="1:8" ht="14.25" customHeight="1">
      <c r="A88" s="205" t="s">
        <v>228</v>
      </c>
      <c r="B88" s="53" t="s">
        <v>229</v>
      </c>
      <c r="C88" s="53"/>
      <c r="D88" s="95"/>
      <c r="E88" s="96"/>
      <c r="F88" s="103">
        <f>SUM(F89:F90)</f>
        <v>7499.5</v>
      </c>
      <c r="G88" s="43"/>
      <c r="H88" s="50"/>
    </row>
    <row r="89" spans="1:8" ht="30.75" customHeight="1">
      <c r="A89" s="206" t="s">
        <v>150</v>
      </c>
      <c r="B89" s="60" t="s">
        <v>229</v>
      </c>
      <c r="C89" s="60" t="s">
        <v>161</v>
      </c>
      <c r="D89" s="60" t="s">
        <v>40</v>
      </c>
      <c r="E89" s="60" t="s">
        <v>43</v>
      </c>
      <c r="F89" s="109">
        <f>7671.8+44.8-12-3-217.1</f>
        <v>7484.5</v>
      </c>
      <c r="G89" s="43"/>
      <c r="H89" s="50"/>
    </row>
    <row r="90" spans="1:8" ht="16.5" customHeight="1">
      <c r="A90" s="197" t="s">
        <v>171</v>
      </c>
      <c r="B90" s="56" t="s">
        <v>229</v>
      </c>
      <c r="C90" s="56" t="s">
        <v>164</v>
      </c>
      <c r="D90" s="86" t="s">
        <v>40</v>
      </c>
      <c r="E90" s="86" t="s">
        <v>43</v>
      </c>
      <c r="F90" s="93">
        <v>15</v>
      </c>
      <c r="G90" s="43"/>
      <c r="H90" s="50"/>
    </row>
    <row r="91" spans="1:8" ht="21.75" customHeight="1">
      <c r="A91" s="205" t="s">
        <v>230</v>
      </c>
      <c r="B91" s="53" t="s">
        <v>231</v>
      </c>
      <c r="C91" s="53"/>
      <c r="D91" s="95"/>
      <c r="E91" s="96"/>
      <c r="F91" s="103">
        <f>F92</f>
        <v>11406.4</v>
      </c>
      <c r="G91" s="43"/>
      <c r="H91" s="50"/>
    </row>
    <row r="92" spans="1:8" ht="31.5" customHeight="1">
      <c r="A92" s="197" t="s">
        <v>168</v>
      </c>
      <c r="B92" s="56" t="s">
        <v>231</v>
      </c>
      <c r="C92" s="56" t="s">
        <v>161</v>
      </c>
      <c r="D92" s="56" t="s">
        <v>40</v>
      </c>
      <c r="E92" s="56" t="s">
        <v>43</v>
      </c>
      <c r="F92" s="93">
        <f>12035.5-629.1</f>
        <v>11406.4</v>
      </c>
      <c r="G92" s="43"/>
      <c r="H92" s="50"/>
    </row>
    <row r="93" spans="1:8" ht="31.5" customHeight="1">
      <c r="A93" s="205" t="s">
        <v>232</v>
      </c>
      <c r="B93" s="53" t="s">
        <v>233</v>
      </c>
      <c r="C93" s="53"/>
      <c r="D93" s="95"/>
      <c r="E93" s="96"/>
      <c r="F93" s="103">
        <f>SUM(F94:F94)</f>
        <v>149.7</v>
      </c>
      <c r="G93" s="3">
        <f>SUM(G94:G94)</f>
        <v>395</v>
      </c>
      <c r="H93" s="21">
        <f>SUM(H94:H94)</f>
        <v>395</v>
      </c>
    </row>
    <row r="94" spans="1:8" ht="28.5" customHeight="1">
      <c r="A94" s="197" t="s">
        <v>168</v>
      </c>
      <c r="B94" s="56" t="s">
        <v>233</v>
      </c>
      <c r="C94" s="56" t="s">
        <v>161</v>
      </c>
      <c r="D94" s="56" t="s">
        <v>40</v>
      </c>
      <c r="E94" s="56" t="s">
        <v>43</v>
      </c>
      <c r="F94" s="93">
        <v>149.7</v>
      </c>
      <c r="G94" s="8">
        <v>395</v>
      </c>
      <c r="H94" s="9">
        <v>395</v>
      </c>
    </row>
    <row r="95" spans="1:8" ht="33" customHeight="1">
      <c r="A95" s="205" t="s">
        <v>234</v>
      </c>
      <c r="B95" s="53" t="s">
        <v>235</v>
      </c>
      <c r="C95" s="53"/>
      <c r="D95" s="95"/>
      <c r="E95" s="96"/>
      <c r="F95" s="103">
        <f>SUM(F96:F96)</f>
        <v>1320.8999999999999</v>
      </c>
      <c r="G95" s="12">
        <f>G96</f>
        <v>24589.2</v>
      </c>
      <c r="H95" s="20">
        <f>H96</f>
        <v>24589.2</v>
      </c>
    </row>
    <row r="96" spans="1:8" ht="28.5" customHeight="1">
      <c r="A96" s="197" t="s">
        <v>168</v>
      </c>
      <c r="B96" s="56" t="s">
        <v>235</v>
      </c>
      <c r="C96" s="56" t="s">
        <v>161</v>
      </c>
      <c r="D96" s="56" t="s">
        <v>40</v>
      </c>
      <c r="E96" s="56" t="s">
        <v>43</v>
      </c>
      <c r="F96" s="93">
        <f>600+490+300.1-69.2</f>
        <v>1320.8999999999999</v>
      </c>
      <c r="G96" s="3">
        <f>SUM(G102:G102)</f>
        <v>24589.2</v>
      </c>
      <c r="H96" s="21">
        <f>SUM(H102:H102)</f>
        <v>24589.2</v>
      </c>
    </row>
    <row r="97" spans="1:8" ht="34.5" customHeight="1">
      <c r="A97" s="205" t="s">
        <v>237</v>
      </c>
      <c r="B97" s="53" t="s">
        <v>236</v>
      </c>
      <c r="C97" s="53"/>
      <c r="D97" s="95"/>
      <c r="E97" s="96"/>
      <c r="F97" s="103">
        <f>SUM(F98:F98)</f>
        <v>3174.7</v>
      </c>
      <c r="G97" s="7"/>
      <c r="H97" s="31"/>
    </row>
    <row r="98" spans="1:8" ht="34.5" customHeight="1">
      <c r="A98" s="197" t="s">
        <v>168</v>
      </c>
      <c r="B98" s="56" t="s">
        <v>236</v>
      </c>
      <c r="C98" s="56" t="s">
        <v>161</v>
      </c>
      <c r="D98" s="56" t="s">
        <v>40</v>
      </c>
      <c r="E98" s="56" t="s">
        <v>43</v>
      </c>
      <c r="F98" s="93">
        <v>3174.7</v>
      </c>
      <c r="G98" s="7"/>
      <c r="H98" s="31"/>
    </row>
    <row r="99" spans="1:8" ht="34.5" customHeight="1">
      <c r="A99" s="205" t="s">
        <v>320</v>
      </c>
      <c r="B99" s="53" t="s">
        <v>333</v>
      </c>
      <c r="C99" s="53"/>
      <c r="D99" s="95"/>
      <c r="E99" s="96"/>
      <c r="F99" s="103">
        <f>SUM(F100:F100)</f>
        <v>2896.6</v>
      </c>
      <c r="G99" s="7"/>
      <c r="H99" s="31"/>
    </row>
    <row r="100" spans="1:8" ht="34.5" customHeight="1">
      <c r="A100" s="197" t="s">
        <v>168</v>
      </c>
      <c r="B100" s="56" t="s">
        <v>333</v>
      </c>
      <c r="C100" s="56" t="s">
        <v>161</v>
      </c>
      <c r="D100" s="56" t="s">
        <v>40</v>
      </c>
      <c r="E100" s="56" t="s">
        <v>43</v>
      </c>
      <c r="F100" s="93">
        <v>2896.6</v>
      </c>
      <c r="G100" s="7"/>
      <c r="H100" s="31"/>
    </row>
    <row r="101" spans="1:8" ht="46.5" customHeight="1">
      <c r="A101" s="205" t="s">
        <v>320</v>
      </c>
      <c r="B101" s="53" t="s">
        <v>296</v>
      </c>
      <c r="C101" s="53"/>
      <c r="D101" s="95"/>
      <c r="E101" s="96"/>
      <c r="F101" s="103">
        <f>SUM(F102:F102)</f>
        <v>380.7</v>
      </c>
      <c r="G101" s="7"/>
      <c r="H101" s="31"/>
    </row>
    <row r="102" spans="1:8" ht="31.5" customHeight="1">
      <c r="A102" s="197" t="s">
        <v>168</v>
      </c>
      <c r="B102" s="56" t="s">
        <v>296</v>
      </c>
      <c r="C102" s="56" t="s">
        <v>161</v>
      </c>
      <c r="D102" s="56" t="s">
        <v>40</v>
      </c>
      <c r="E102" s="56" t="s">
        <v>43</v>
      </c>
      <c r="F102" s="93">
        <v>380.7</v>
      </c>
      <c r="G102" s="4">
        <v>24589.2</v>
      </c>
      <c r="H102" s="10">
        <v>24589.2</v>
      </c>
    </row>
    <row r="103" spans="1:8" ht="33" customHeight="1">
      <c r="A103" s="219" t="s">
        <v>238</v>
      </c>
      <c r="B103" s="99" t="s">
        <v>242</v>
      </c>
      <c r="C103" s="99"/>
      <c r="D103" s="100"/>
      <c r="E103" s="101"/>
      <c r="F103" s="102">
        <f>F104</f>
        <v>4342.700000000001</v>
      </c>
      <c r="G103" s="29"/>
      <c r="H103" s="32"/>
    </row>
    <row r="104" spans="1:8" ht="30" customHeight="1">
      <c r="A104" s="205" t="s">
        <v>240</v>
      </c>
      <c r="B104" s="53" t="s">
        <v>241</v>
      </c>
      <c r="C104" s="53"/>
      <c r="D104" s="95"/>
      <c r="E104" s="96"/>
      <c r="F104" s="103">
        <f>F105+F107</f>
        <v>4342.700000000001</v>
      </c>
      <c r="G104" s="29"/>
      <c r="H104" s="32"/>
    </row>
    <row r="105" spans="1:8" ht="30" customHeight="1">
      <c r="A105" s="205" t="s">
        <v>321</v>
      </c>
      <c r="B105" s="53" t="s">
        <v>323</v>
      </c>
      <c r="C105" s="53"/>
      <c r="D105" s="95"/>
      <c r="E105" s="96"/>
      <c r="F105" s="103">
        <f>F106</f>
        <v>4125.6</v>
      </c>
      <c r="G105" s="29"/>
      <c r="H105" s="32"/>
    </row>
    <row r="106" spans="1:8" ht="14.25" customHeight="1">
      <c r="A106" s="220" t="s">
        <v>169</v>
      </c>
      <c r="B106" s="56" t="s">
        <v>323</v>
      </c>
      <c r="C106" s="56" t="s">
        <v>160</v>
      </c>
      <c r="D106" s="86" t="s">
        <v>40</v>
      </c>
      <c r="E106" s="86" t="s">
        <v>41</v>
      </c>
      <c r="F106" s="93">
        <v>4125.6</v>
      </c>
      <c r="G106" s="29"/>
      <c r="H106" s="32"/>
    </row>
    <row r="107" spans="1:8" ht="30" customHeight="1">
      <c r="A107" s="205" t="s">
        <v>321</v>
      </c>
      <c r="B107" s="53" t="s">
        <v>322</v>
      </c>
      <c r="C107" s="53"/>
      <c r="D107" s="95"/>
      <c r="E107" s="96"/>
      <c r="F107" s="103">
        <f>F108</f>
        <v>217.1</v>
      </c>
      <c r="G107" s="29"/>
      <c r="H107" s="32"/>
    </row>
    <row r="108" spans="1:8" ht="15" customHeight="1">
      <c r="A108" s="220" t="s">
        <v>169</v>
      </c>
      <c r="B108" s="56" t="s">
        <v>322</v>
      </c>
      <c r="C108" s="56" t="s">
        <v>160</v>
      </c>
      <c r="D108" s="86" t="s">
        <v>40</v>
      </c>
      <c r="E108" s="86" t="s">
        <v>41</v>
      </c>
      <c r="F108" s="93">
        <v>217.1</v>
      </c>
      <c r="G108" s="29"/>
      <c r="H108" s="32"/>
    </row>
    <row r="109" spans="1:8" ht="33" customHeight="1">
      <c r="A109" s="221" t="s">
        <v>139</v>
      </c>
      <c r="B109" s="119" t="s">
        <v>249</v>
      </c>
      <c r="C109" s="120"/>
      <c r="D109" s="120"/>
      <c r="E109" s="121"/>
      <c r="F109" s="122">
        <f>F110+F118+F124+F128+F134</f>
        <v>34440.49999999999</v>
      </c>
      <c r="G109" s="29"/>
      <c r="H109" s="32"/>
    </row>
    <row r="110" spans="1:8" ht="17.25" customHeight="1">
      <c r="A110" s="193" t="s">
        <v>250</v>
      </c>
      <c r="B110" s="123" t="s">
        <v>248</v>
      </c>
      <c r="C110" s="124"/>
      <c r="D110" s="124"/>
      <c r="E110" s="125"/>
      <c r="F110" s="126">
        <f>F111</f>
        <v>841.7</v>
      </c>
      <c r="G110" s="3">
        <f>SUM(G112:G112)</f>
        <v>0</v>
      </c>
      <c r="H110" s="21">
        <f>SUM(H112:H112)</f>
        <v>0</v>
      </c>
    </row>
    <row r="111" spans="1:8" ht="29.25" customHeight="1">
      <c r="A111" s="205" t="s">
        <v>246</v>
      </c>
      <c r="B111" s="36" t="s">
        <v>247</v>
      </c>
      <c r="C111" s="127"/>
      <c r="D111" s="128"/>
      <c r="E111" s="96"/>
      <c r="F111" s="85">
        <f>F112+F114+F116</f>
        <v>841.7</v>
      </c>
      <c r="G111" s="7"/>
      <c r="H111" s="31"/>
    </row>
    <row r="112" spans="1:8" ht="29.25" customHeight="1">
      <c r="A112" s="205" t="s">
        <v>243</v>
      </c>
      <c r="B112" s="53" t="s">
        <v>252</v>
      </c>
      <c r="C112" s="53"/>
      <c r="D112" s="95"/>
      <c r="E112" s="96"/>
      <c r="F112" s="103">
        <f>SUM(F113:F113)</f>
        <v>10</v>
      </c>
      <c r="G112" s="5">
        <v>0</v>
      </c>
      <c r="H112" s="11">
        <v>0</v>
      </c>
    </row>
    <row r="113" spans="1:8" ht="31.5" customHeight="1">
      <c r="A113" s="197" t="s">
        <v>168</v>
      </c>
      <c r="B113" s="56" t="s">
        <v>252</v>
      </c>
      <c r="C113" s="56" t="s">
        <v>161</v>
      </c>
      <c r="D113" s="56" t="s">
        <v>46</v>
      </c>
      <c r="E113" s="56" t="s">
        <v>42</v>
      </c>
      <c r="F113" s="93">
        <v>10</v>
      </c>
      <c r="G113" s="19" t="e">
        <f>G114+#REF!+#REF!+#REF!+#REF!+#REF!</f>
        <v>#REF!</v>
      </c>
      <c r="H113" s="19" t="e">
        <f>H114+#REF!+#REF!+#REF!+#REF!+#REF!</f>
        <v>#REF!</v>
      </c>
    </row>
    <row r="114" spans="1:8" ht="15.75" customHeight="1">
      <c r="A114" s="205" t="s">
        <v>244</v>
      </c>
      <c r="B114" s="53" t="s">
        <v>253</v>
      </c>
      <c r="C114" s="53"/>
      <c r="D114" s="95"/>
      <c r="E114" s="96"/>
      <c r="F114" s="103">
        <f>SUM(F115:F115)</f>
        <v>664.4</v>
      </c>
      <c r="G114" s="3">
        <f>G115</f>
        <v>540</v>
      </c>
      <c r="H114" s="21">
        <f>H115</f>
        <v>540</v>
      </c>
    </row>
    <row r="115" spans="1:8" ht="16.5" customHeight="1">
      <c r="A115" s="197" t="s">
        <v>176</v>
      </c>
      <c r="B115" s="56" t="s">
        <v>254</v>
      </c>
      <c r="C115" s="56" t="s">
        <v>165</v>
      </c>
      <c r="D115" s="56" t="s">
        <v>46</v>
      </c>
      <c r="E115" s="56" t="s">
        <v>42</v>
      </c>
      <c r="F115" s="93">
        <f>500+164.4</f>
        <v>664.4</v>
      </c>
      <c r="G115" s="5">
        <v>540</v>
      </c>
      <c r="H115" s="11">
        <v>540</v>
      </c>
    </row>
    <row r="116" spans="1:8" ht="15.75">
      <c r="A116" s="222" t="s">
        <v>245</v>
      </c>
      <c r="B116" s="53" t="s">
        <v>255</v>
      </c>
      <c r="C116" s="129"/>
      <c r="D116" s="129"/>
      <c r="E116" s="129"/>
      <c r="F116" s="103">
        <f>F117</f>
        <v>167.3</v>
      </c>
      <c r="G116" s="5">
        <v>0</v>
      </c>
      <c r="H116" s="11">
        <v>0</v>
      </c>
    </row>
    <row r="117" spans="1:8" ht="31.5">
      <c r="A117" s="197" t="s">
        <v>168</v>
      </c>
      <c r="B117" s="56" t="s">
        <v>255</v>
      </c>
      <c r="C117" s="56" t="s">
        <v>161</v>
      </c>
      <c r="D117" s="56" t="s">
        <v>46</v>
      </c>
      <c r="E117" s="56" t="s">
        <v>42</v>
      </c>
      <c r="F117" s="93">
        <f>200-32.7</f>
        <v>167.3</v>
      </c>
      <c r="G117" s="29"/>
      <c r="H117" s="30"/>
    </row>
    <row r="118" spans="1:8" ht="18.75" customHeight="1">
      <c r="A118" s="223" t="s">
        <v>251</v>
      </c>
      <c r="B118" s="130" t="s">
        <v>256</v>
      </c>
      <c r="C118" s="131"/>
      <c r="D118" s="131"/>
      <c r="E118" s="131"/>
      <c r="F118" s="132">
        <f>F119</f>
        <v>859.5</v>
      </c>
      <c r="G118" s="12" t="e">
        <f>G119+G127+#REF!</f>
        <v>#REF!</v>
      </c>
      <c r="H118" s="20" t="e">
        <f>H119+H127+#REF!</f>
        <v>#REF!</v>
      </c>
    </row>
    <row r="119" spans="1:8" ht="33" customHeight="1">
      <c r="A119" s="224" t="s">
        <v>288</v>
      </c>
      <c r="B119" s="37" t="s">
        <v>257</v>
      </c>
      <c r="C119" s="133"/>
      <c r="D119" s="133"/>
      <c r="E119" s="133"/>
      <c r="F119" s="82">
        <f>F120+F122</f>
        <v>859.5</v>
      </c>
      <c r="G119" s="3">
        <f>SUM(G122:G125)</f>
        <v>944.4</v>
      </c>
      <c r="H119" s="21">
        <f>SUM(H122:H125)</f>
        <v>944.4</v>
      </c>
    </row>
    <row r="120" spans="1:8" ht="48.75" customHeight="1">
      <c r="A120" s="205" t="s">
        <v>258</v>
      </c>
      <c r="B120" s="36" t="s">
        <v>259</v>
      </c>
      <c r="C120" s="134"/>
      <c r="D120" s="134"/>
      <c r="E120" s="135"/>
      <c r="F120" s="103">
        <f>SUM(F121:F121)</f>
        <v>506.1</v>
      </c>
      <c r="G120" s="3"/>
      <c r="H120" s="21"/>
    </row>
    <row r="121" spans="1:8" ht="33.75" customHeight="1">
      <c r="A121" s="197" t="s">
        <v>168</v>
      </c>
      <c r="B121" s="136" t="s">
        <v>259</v>
      </c>
      <c r="C121" s="35" t="s">
        <v>161</v>
      </c>
      <c r="D121" s="35" t="s">
        <v>47</v>
      </c>
      <c r="E121" s="35" t="s">
        <v>47</v>
      </c>
      <c r="F121" s="93">
        <v>506.1</v>
      </c>
      <c r="G121" s="3"/>
      <c r="H121" s="21"/>
    </row>
    <row r="122" spans="1:8" ht="15" customHeight="1">
      <c r="A122" s="196" t="s">
        <v>245</v>
      </c>
      <c r="B122" s="137" t="s">
        <v>260</v>
      </c>
      <c r="C122" s="70"/>
      <c r="D122" s="70"/>
      <c r="E122" s="138"/>
      <c r="F122" s="91">
        <f>F123</f>
        <v>353.4</v>
      </c>
      <c r="G122" s="8">
        <v>439.9</v>
      </c>
      <c r="H122" s="9">
        <v>439.9</v>
      </c>
    </row>
    <row r="123" spans="1:8" ht="14.25" customHeight="1">
      <c r="A123" s="197" t="s">
        <v>177</v>
      </c>
      <c r="B123" s="136" t="s">
        <v>260</v>
      </c>
      <c r="C123" s="35" t="s">
        <v>165</v>
      </c>
      <c r="D123" s="35" t="s">
        <v>47</v>
      </c>
      <c r="E123" s="35" t="s">
        <v>47</v>
      </c>
      <c r="F123" s="106">
        <f>300+53.4</f>
        <v>353.4</v>
      </c>
      <c r="G123" s="29"/>
      <c r="H123" s="30"/>
    </row>
    <row r="124" spans="1:8" ht="33" customHeight="1">
      <c r="A124" s="225" t="s">
        <v>261</v>
      </c>
      <c r="B124" s="123" t="s">
        <v>262</v>
      </c>
      <c r="C124" s="139"/>
      <c r="D124" s="139"/>
      <c r="E124" s="139"/>
      <c r="F124" s="102">
        <f>F126</f>
        <v>500</v>
      </c>
      <c r="G124" s="29"/>
      <c r="H124" s="30"/>
    </row>
    <row r="125" spans="1:8" ht="27" customHeight="1">
      <c r="A125" s="226" t="s">
        <v>263</v>
      </c>
      <c r="B125" s="36" t="s">
        <v>37</v>
      </c>
      <c r="C125" s="135"/>
      <c r="D125" s="135"/>
      <c r="E125" s="135"/>
      <c r="F125" s="103">
        <f>F126</f>
        <v>500</v>
      </c>
      <c r="G125" s="5">
        <v>504.5</v>
      </c>
      <c r="H125" s="11">
        <v>504.5</v>
      </c>
    </row>
    <row r="126" spans="1:8" ht="18" customHeight="1">
      <c r="A126" s="205" t="s">
        <v>244</v>
      </c>
      <c r="B126" s="36" t="s">
        <v>264</v>
      </c>
      <c r="C126" s="134"/>
      <c r="D126" s="134"/>
      <c r="E126" s="135"/>
      <c r="F126" s="103">
        <f>SUM(F127:F127)</f>
        <v>500</v>
      </c>
      <c r="G126" s="29"/>
      <c r="H126" s="30"/>
    </row>
    <row r="127" spans="1:8" ht="21.75" customHeight="1">
      <c r="A127" s="197" t="s">
        <v>177</v>
      </c>
      <c r="B127" s="136" t="s">
        <v>264</v>
      </c>
      <c r="C127" s="35" t="s">
        <v>165</v>
      </c>
      <c r="D127" s="35" t="s">
        <v>48</v>
      </c>
      <c r="E127" s="35" t="s">
        <v>44</v>
      </c>
      <c r="F127" s="93">
        <v>500</v>
      </c>
      <c r="G127" s="3" t="e">
        <f>#REF!</f>
        <v>#REF!</v>
      </c>
      <c r="H127" s="21" t="e">
        <f>#REF!</f>
        <v>#REF!</v>
      </c>
    </row>
    <row r="128" spans="1:8" ht="33.75" customHeight="1">
      <c r="A128" s="193" t="s">
        <v>265</v>
      </c>
      <c r="B128" s="75" t="s">
        <v>273</v>
      </c>
      <c r="C128" s="124"/>
      <c r="D128" s="124"/>
      <c r="E128" s="125"/>
      <c r="F128" s="126">
        <f>F129</f>
        <v>3490</v>
      </c>
      <c r="G128" s="3" t="e">
        <f>SUM(#REF!)</f>
        <v>#REF!</v>
      </c>
      <c r="H128" s="3" t="e">
        <f>SUM(#REF!)</f>
        <v>#REF!</v>
      </c>
    </row>
    <row r="129" spans="1:8" ht="15.75" customHeight="1">
      <c r="A129" s="205" t="s">
        <v>266</v>
      </c>
      <c r="B129" s="53" t="s">
        <v>267</v>
      </c>
      <c r="C129" s="127"/>
      <c r="D129" s="128"/>
      <c r="E129" s="96"/>
      <c r="F129" s="85">
        <f>F130+F132</f>
        <v>3490</v>
      </c>
      <c r="G129" s="3"/>
      <c r="H129" s="33"/>
    </row>
    <row r="130" spans="1:8" ht="33.75" customHeight="1">
      <c r="A130" s="205" t="s">
        <v>275</v>
      </c>
      <c r="B130" s="53" t="s">
        <v>268</v>
      </c>
      <c r="C130" s="53"/>
      <c r="D130" s="95"/>
      <c r="E130" s="96"/>
      <c r="F130" s="103">
        <f>F131</f>
        <v>2938</v>
      </c>
      <c r="G130" s="7"/>
      <c r="H130" s="64"/>
    </row>
    <row r="131" spans="1:8" ht="15.75" customHeight="1">
      <c r="A131" s="197" t="s">
        <v>177</v>
      </c>
      <c r="B131" s="56" t="s">
        <v>268</v>
      </c>
      <c r="C131" s="56" t="s">
        <v>165</v>
      </c>
      <c r="D131" s="56" t="s">
        <v>49</v>
      </c>
      <c r="E131" s="56" t="s">
        <v>44</v>
      </c>
      <c r="F131" s="93">
        <f>2568+370</f>
        <v>2938</v>
      </c>
      <c r="G131" s="7"/>
      <c r="H131" s="64"/>
    </row>
    <row r="132" spans="1:11" ht="45.75" customHeight="1">
      <c r="A132" s="205" t="s">
        <v>289</v>
      </c>
      <c r="B132" s="53" t="s">
        <v>285</v>
      </c>
      <c r="C132" s="53"/>
      <c r="D132" s="95"/>
      <c r="E132" s="96"/>
      <c r="F132" s="103">
        <f>F133</f>
        <v>552</v>
      </c>
      <c r="G132" s="44"/>
      <c r="H132" s="45"/>
      <c r="K132" s="1"/>
    </row>
    <row r="133" spans="1:8" ht="15.75" customHeight="1">
      <c r="A133" s="197" t="s">
        <v>177</v>
      </c>
      <c r="B133" s="56" t="s">
        <v>285</v>
      </c>
      <c r="C133" s="56" t="s">
        <v>165</v>
      </c>
      <c r="D133" s="56" t="s">
        <v>49</v>
      </c>
      <c r="E133" s="56" t="s">
        <v>44</v>
      </c>
      <c r="F133" s="93">
        <v>552</v>
      </c>
      <c r="G133" s="27">
        <f>6087.1-100</f>
        <v>5987.1</v>
      </c>
      <c r="H133" s="28">
        <f>6087.1-100</f>
        <v>5987.1</v>
      </c>
    </row>
    <row r="134" spans="1:8" ht="31.5" customHeight="1">
      <c r="A134" s="199" t="s">
        <v>269</v>
      </c>
      <c r="B134" s="99" t="s">
        <v>270</v>
      </c>
      <c r="C134" s="99"/>
      <c r="D134" s="100"/>
      <c r="E134" s="101"/>
      <c r="F134" s="102">
        <f>F135</f>
        <v>28749.299999999996</v>
      </c>
      <c r="G134" s="25">
        <f>G135</f>
        <v>815</v>
      </c>
      <c r="H134" s="26">
        <f>H135</f>
        <v>915</v>
      </c>
    </row>
    <row r="135" spans="1:8" ht="31.5">
      <c r="A135" s="222" t="s">
        <v>271</v>
      </c>
      <c r="B135" s="53" t="s">
        <v>272</v>
      </c>
      <c r="C135" s="53"/>
      <c r="D135" s="95"/>
      <c r="E135" s="96"/>
      <c r="F135" s="103">
        <f>F136+F140+F142+F144+F147+F149+F151</f>
        <v>28749.299999999996</v>
      </c>
      <c r="G135" s="27">
        <v>815</v>
      </c>
      <c r="H135" s="28">
        <v>915</v>
      </c>
    </row>
    <row r="136" spans="1:8" ht="28.5" customHeight="1">
      <c r="A136" s="205" t="s">
        <v>8</v>
      </c>
      <c r="B136" s="53" t="s">
        <v>274</v>
      </c>
      <c r="C136" s="53"/>
      <c r="D136" s="95"/>
      <c r="E136" s="96"/>
      <c r="F136" s="103">
        <f>SUM(F137:F139)</f>
        <v>5129.3</v>
      </c>
      <c r="G136" s="51"/>
      <c r="H136" s="52"/>
    </row>
    <row r="137" spans="1:8" ht="16.5" customHeight="1">
      <c r="A137" s="217" t="s">
        <v>181</v>
      </c>
      <c r="B137" s="117" t="s">
        <v>274</v>
      </c>
      <c r="C137" s="117" t="s">
        <v>162</v>
      </c>
      <c r="D137" s="117" t="s">
        <v>46</v>
      </c>
      <c r="E137" s="117" t="s">
        <v>41</v>
      </c>
      <c r="F137" s="118">
        <f>3160.1+993.7</f>
        <v>4153.8</v>
      </c>
      <c r="G137" s="51"/>
      <c r="H137" s="52"/>
    </row>
    <row r="138" spans="1:8" ht="33" customHeight="1">
      <c r="A138" s="218" t="s">
        <v>168</v>
      </c>
      <c r="B138" s="105" t="s">
        <v>274</v>
      </c>
      <c r="C138" s="105" t="s">
        <v>161</v>
      </c>
      <c r="D138" s="105" t="s">
        <v>46</v>
      </c>
      <c r="E138" s="105" t="s">
        <v>41</v>
      </c>
      <c r="F138" s="106">
        <f>1037.6-10-10+127-193.8</f>
        <v>950.8</v>
      </c>
      <c r="G138" s="25">
        <f>G139</f>
        <v>30</v>
      </c>
      <c r="H138" s="26">
        <f>H139</f>
        <v>30</v>
      </c>
    </row>
    <row r="139" spans="1:8" ht="14.25" customHeight="1">
      <c r="A139" s="197" t="s">
        <v>171</v>
      </c>
      <c r="B139" s="56" t="s">
        <v>274</v>
      </c>
      <c r="C139" s="56" t="s">
        <v>164</v>
      </c>
      <c r="D139" s="56" t="s">
        <v>46</v>
      </c>
      <c r="E139" s="56" t="s">
        <v>41</v>
      </c>
      <c r="F139" s="93">
        <f>6.5+10+10-1.8</f>
        <v>24.7</v>
      </c>
      <c r="G139" s="27">
        <v>30</v>
      </c>
      <c r="H139" s="28">
        <v>30</v>
      </c>
    </row>
    <row r="140" spans="1:8" ht="29.25" customHeight="1">
      <c r="A140" s="205" t="s">
        <v>275</v>
      </c>
      <c r="B140" s="36" t="s">
        <v>5</v>
      </c>
      <c r="C140" s="134"/>
      <c r="D140" s="134"/>
      <c r="E140" s="135"/>
      <c r="F140" s="103">
        <f>F141</f>
        <v>12879.7</v>
      </c>
      <c r="G140" s="51"/>
      <c r="H140" s="55"/>
    </row>
    <row r="141" spans="1:8" ht="17.25" customHeight="1">
      <c r="A141" s="197" t="s">
        <v>177</v>
      </c>
      <c r="B141" s="136" t="s">
        <v>5</v>
      </c>
      <c r="C141" s="35" t="s">
        <v>165</v>
      </c>
      <c r="D141" s="35" t="s">
        <v>46</v>
      </c>
      <c r="E141" s="35" t="s">
        <v>41</v>
      </c>
      <c r="F141" s="93">
        <f>11100+1779.7</f>
        <v>12879.7</v>
      </c>
      <c r="G141" s="3" t="e">
        <f>SUM(#REF!)</f>
        <v>#REF!</v>
      </c>
      <c r="H141" s="3" t="e">
        <f>SUM(#REF!)</f>
        <v>#REF!</v>
      </c>
    </row>
    <row r="142" spans="1:8" ht="33.75" customHeight="1">
      <c r="A142" s="227" t="s">
        <v>276</v>
      </c>
      <c r="B142" s="137" t="s">
        <v>6</v>
      </c>
      <c r="C142" s="70"/>
      <c r="D142" s="70"/>
      <c r="E142" s="70"/>
      <c r="F142" s="91">
        <f>F143</f>
        <v>376.5</v>
      </c>
      <c r="G142" s="7"/>
      <c r="H142" s="7"/>
    </row>
    <row r="143" spans="1:8" ht="20.25" customHeight="1">
      <c r="A143" s="197" t="s">
        <v>177</v>
      </c>
      <c r="B143" s="136" t="s">
        <v>6</v>
      </c>
      <c r="C143" s="35" t="s">
        <v>165</v>
      </c>
      <c r="D143" s="35" t="s">
        <v>46</v>
      </c>
      <c r="E143" s="35" t="s">
        <v>41</v>
      </c>
      <c r="F143" s="93">
        <f>236.5+140</f>
        <v>376.5</v>
      </c>
      <c r="G143" s="7"/>
      <c r="H143" s="7"/>
    </row>
    <row r="144" spans="1:8" ht="33" customHeight="1">
      <c r="A144" s="196" t="s">
        <v>308</v>
      </c>
      <c r="B144" s="137" t="s">
        <v>7</v>
      </c>
      <c r="C144" s="70"/>
      <c r="D144" s="141"/>
      <c r="E144" s="141"/>
      <c r="F144" s="91">
        <f>F145+F146</f>
        <v>962.8</v>
      </c>
      <c r="G144" s="7"/>
      <c r="H144" s="7"/>
    </row>
    <row r="145" spans="1:8" ht="33" customHeight="1">
      <c r="A145" s="228" t="s">
        <v>168</v>
      </c>
      <c r="B145" s="142" t="s">
        <v>7</v>
      </c>
      <c r="C145" s="38" t="s">
        <v>165</v>
      </c>
      <c r="D145" s="38" t="s">
        <v>46</v>
      </c>
      <c r="E145" s="38" t="s">
        <v>41</v>
      </c>
      <c r="F145" s="109">
        <v>496.4</v>
      </c>
      <c r="G145" s="7"/>
      <c r="H145" s="7"/>
    </row>
    <row r="146" spans="1:8" ht="18" customHeight="1">
      <c r="A146" s="197" t="s">
        <v>177</v>
      </c>
      <c r="B146" s="136" t="s">
        <v>7</v>
      </c>
      <c r="C146" s="35" t="s">
        <v>161</v>
      </c>
      <c r="D146" s="35" t="s">
        <v>46</v>
      </c>
      <c r="E146" s="35" t="s">
        <v>41</v>
      </c>
      <c r="F146" s="93">
        <v>466.4</v>
      </c>
      <c r="G146" s="29"/>
      <c r="H146" s="29"/>
    </row>
    <row r="147" spans="1:8" ht="31.5" customHeight="1">
      <c r="A147" s="227" t="s">
        <v>324</v>
      </c>
      <c r="B147" s="137" t="s">
        <v>325</v>
      </c>
      <c r="C147" s="70"/>
      <c r="D147" s="141"/>
      <c r="E147" s="141"/>
      <c r="F147" s="97">
        <f>F148</f>
        <v>4573.8</v>
      </c>
      <c r="G147" s="29"/>
      <c r="H147" s="29"/>
    </row>
    <row r="148" spans="1:8" ht="32.25" customHeight="1">
      <c r="A148" s="228" t="s">
        <v>168</v>
      </c>
      <c r="B148" s="142" t="s">
        <v>325</v>
      </c>
      <c r="C148" s="38" t="s">
        <v>161</v>
      </c>
      <c r="D148" s="143" t="s">
        <v>46</v>
      </c>
      <c r="E148" s="143" t="s">
        <v>41</v>
      </c>
      <c r="F148" s="153">
        <v>4573.8</v>
      </c>
      <c r="G148" s="29"/>
      <c r="H148" s="29"/>
    </row>
    <row r="149" spans="1:8" ht="32.25" customHeight="1">
      <c r="A149" s="242" t="s">
        <v>324</v>
      </c>
      <c r="B149" s="254" t="s">
        <v>328</v>
      </c>
      <c r="C149" s="175"/>
      <c r="D149" s="255"/>
      <c r="E149" s="255"/>
      <c r="F149" s="97">
        <f>F150</f>
        <v>3811.6</v>
      </c>
      <c r="G149" s="29"/>
      <c r="H149" s="29"/>
    </row>
    <row r="150" spans="1:8" ht="32.25" customHeight="1">
      <c r="A150" s="228" t="s">
        <v>168</v>
      </c>
      <c r="B150" s="142" t="s">
        <v>328</v>
      </c>
      <c r="C150" s="38" t="s">
        <v>161</v>
      </c>
      <c r="D150" s="143" t="s">
        <v>46</v>
      </c>
      <c r="E150" s="143" t="s">
        <v>41</v>
      </c>
      <c r="F150" s="153">
        <v>3811.6</v>
      </c>
      <c r="G150" s="29"/>
      <c r="H150" s="29"/>
    </row>
    <row r="151" spans="1:8" ht="32.25" customHeight="1">
      <c r="A151" s="248" t="s">
        <v>334</v>
      </c>
      <c r="B151" s="58" t="s">
        <v>335</v>
      </c>
      <c r="C151" s="263"/>
      <c r="D151" s="140"/>
      <c r="E151" s="140"/>
      <c r="F151" s="82">
        <f>F152+F153</f>
        <v>1015.6</v>
      </c>
      <c r="G151" s="29"/>
      <c r="H151" s="29"/>
    </row>
    <row r="152" spans="1:8" ht="18.75" customHeight="1">
      <c r="A152" s="260" t="s">
        <v>181</v>
      </c>
      <c r="B152" s="261" t="s">
        <v>335</v>
      </c>
      <c r="C152" s="38" t="s">
        <v>165</v>
      </c>
      <c r="D152" s="143" t="s">
        <v>46</v>
      </c>
      <c r="E152" s="143" t="s">
        <v>41</v>
      </c>
      <c r="F152" s="153">
        <v>660.1</v>
      </c>
      <c r="G152" s="29"/>
      <c r="H152" s="29"/>
    </row>
    <row r="153" spans="1:8" ht="15.75" customHeight="1">
      <c r="A153" s="197" t="s">
        <v>177</v>
      </c>
      <c r="B153" s="262" t="s">
        <v>335</v>
      </c>
      <c r="C153" s="264" t="s">
        <v>162</v>
      </c>
      <c r="D153" s="265" t="s">
        <v>46</v>
      </c>
      <c r="E153" s="265" t="s">
        <v>41</v>
      </c>
      <c r="F153" s="93">
        <v>355.5</v>
      </c>
      <c r="G153" s="29"/>
      <c r="H153" s="29"/>
    </row>
    <row r="154" spans="1:8" ht="46.5" customHeight="1">
      <c r="A154" s="229" t="s">
        <v>191</v>
      </c>
      <c r="B154" s="144" t="s">
        <v>10</v>
      </c>
      <c r="C154" s="144"/>
      <c r="D154" s="145"/>
      <c r="E154" s="146"/>
      <c r="F154" s="122">
        <f>F164+F155+F176</f>
        <v>8711.1</v>
      </c>
      <c r="G154" s="3">
        <f>SUM(G155:G155)</f>
        <v>75</v>
      </c>
      <c r="H154" s="3">
        <f>SUM(H155:H155)</f>
        <v>90</v>
      </c>
    </row>
    <row r="155" spans="1:8" ht="77.25" customHeight="1">
      <c r="A155" s="230" t="s">
        <v>3</v>
      </c>
      <c r="B155" s="75" t="s">
        <v>11</v>
      </c>
      <c r="C155" s="147"/>
      <c r="D155" s="147"/>
      <c r="E155" s="75"/>
      <c r="F155" s="126">
        <f>F156</f>
        <v>1365.7</v>
      </c>
      <c r="G155" s="5">
        <v>75</v>
      </c>
      <c r="H155" s="5">
        <v>90</v>
      </c>
    </row>
    <row r="156" spans="1:8" ht="49.5" customHeight="1">
      <c r="A156" s="198" t="s">
        <v>9</v>
      </c>
      <c r="B156" s="58" t="s">
        <v>12</v>
      </c>
      <c r="C156" s="129"/>
      <c r="D156" s="129"/>
      <c r="E156" s="53"/>
      <c r="F156" s="85">
        <f>F157+F159+F162</f>
        <v>1365.7</v>
      </c>
      <c r="G156" s="3">
        <f>SUM(G157:G157)</f>
        <v>295</v>
      </c>
      <c r="H156" s="3">
        <f>SUM(H157:H157)</f>
        <v>320</v>
      </c>
    </row>
    <row r="157" spans="1:8" ht="33.75" customHeight="1">
      <c r="A157" s="198" t="s">
        <v>1</v>
      </c>
      <c r="B157" s="53" t="s">
        <v>13</v>
      </c>
      <c r="C157" s="129"/>
      <c r="D157" s="129"/>
      <c r="E157" s="53"/>
      <c r="F157" s="85">
        <f>F158</f>
        <v>27.1</v>
      </c>
      <c r="G157" s="5">
        <v>295</v>
      </c>
      <c r="H157" s="5">
        <v>320</v>
      </c>
    </row>
    <row r="158" spans="1:8" ht="31.5" customHeight="1">
      <c r="A158" s="197" t="s">
        <v>168</v>
      </c>
      <c r="B158" s="56" t="s">
        <v>13</v>
      </c>
      <c r="C158" s="56" t="s">
        <v>161</v>
      </c>
      <c r="D158" s="56" t="s">
        <v>43</v>
      </c>
      <c r="E158" s="56" t="s">
        <v>45</v>
      </c>
      <c r="F158" s="88">
        <f>30-2.9</f>
        <v>27.1</v>
      </c>
      <c r="G158" s="3">
        <f>SUM(G159:G159)</f>
        <v>70</v>
      </c>
      <c r="H158" s="3">
        <f>SUM(H159:H159)</f>
        <v>80</v>
      </c>
    </row>
    <row r="159" spans="1:8" ht="33" customHeight="1">
      <c r="A159" s="198" t="s">
        <v>2</v>
      </c>
      <c r="B159" s="53" t="s">
        <v>14</v>
      </c>
      <c r="C159" s="129"/>
      <c r="D159" s="129"/>
      <c r="E159" s="53"/>
      <c r="F159" s="85">
        <f>F160+F161</f>
        <v>108.60000000000001</v>
      </c>
      <c r="G159" s="5">
        <v>70</v>
      </c>
      <c r="H159" s="5">
        <v>80</v>
      </c>
    </row>
    <row r="160" spans="1:8" ht="30" customHeight="1">
      <c r="A160" s="206" t="s">
        <v>168</v>
      </c>
      <c r="B160" s="60" t="s">
        <v>14</v>
      </c>
      <c r="C160" s="60" t="s">
        <v>161</v>
      </c>
      <c r="D160" s="60" t="s">
        <v>41</v>
      </c>
      <c r="E160" s="60" t="s">
        <v>51</v>
      </c>
      <c r="F160" s="87">
        <f>117.9-21.6</f>
        <v>96.30000000000001</v>
      </c>
      <c r="G160" s="29"/>
      <c r="H160" s="29"/>
    </row>
    <row r="161" spans="1:8" ht="33.75" customHeight="1">
      <c r="A161" s="206" t="s">
        <v>168</v>
      </c>
      <c r="B161" s="60" t="s">
        <v>14</v>
      </c>
      <c r="C161" s="60" t="s">
        <v>161</v>
      </c>
      <c r="D161" s="60" t="s">
        <v>46</v>
      </c>
      <c r="E161" s="60" t="s">
        <v>41</v>
      </c>
      <c r="F161" s="87">
        <f>13.5-1.2</f>
        <v>12.3</v>
      </c>
      <c r="G161" s="29"/>
      <c r="H161" s="29"/>
    </row>
    <row r="162" spans="1:8" ht="16.5" customHeight="1">
      <c r="A162" s="196" t="s">
        <v>4</v>
      </c>
      <c r="B162" s="111" t="s">
        <v>15</v>
      </c>
      <c r="C162" s="112"/>
      <c r="D162" s="90"/>
      <c r="E162" s="90"/>
      <c r="F162" s="148">
        <f>F163</f>
        <v>1230</v>
      </c>
      <c r="G162" s="12"/>
      <c r="H162" s="46"/>
    </row>
    <row r="163" spans="1:8" ht="33" customHeight="1">
      <c r="A163" s="197" t="s">
        <v>168</v>
      </c>
      <c r="B163" s="56" t="s">
        <v>16</v>
      </c>
      <c r="C163" s="56" t="s">
        <v>161</v>
      </c>
      <c r="D163" s="86" t="s">
        <v>43</v>
      </c>
      <c r="E163" s="86" t="s">
        <v>45</v>
      </c>
      <c r="F163" s="88">
        <v>1230</v>
      </c>
      <c r="G163" s="8">
        <v>16782.9</v>
      </c>
      <c r="H163" s="23">
        <v>18796.8</v>
      </c>
    </row>
    <row r="164" spans="1:8" ht="50.25" customHeight="1">
      <c r="A164" s="219" t="s">
        <v>282</v>
      </c>
      <c r="B164" s="99" t="s">
        <v>19</v>
      </c>
      <c r="C164" s="99"/>
      <c r="D164" s="100"/>
      <c r="E164" s="101"/>
      <c r="F164" s="102">
        <f>F165</f>
        <v>1075.4</v>
      </c>
      <c r="G164" s="4">
        <v>15.5</v>
      </c>
      <c r="H164" s="24">
        <v>15.5</v>
      </c>
    </row>
    <row r="165" spans="1:8" ht="39" customHeight="1">
      <c r="A165" s="205" t="s">
        <v>17</v>
      </c>
      <c r="B165" s="53" t="s">
        <v>18</v>
      </c>
      <c r="C165" s="53"/>
      <c r="D165" s="95"/>
      <c r="E165" s="96"/>
      <c r="F165" s="103">
        <f>F166+F168+F172</f>
        <v>1075.4</v>
      </c>
      <c r="G165" s="3" t="e">
        <f>#REF!</f>
        <v>#REF!</v>
      </c>
      <c r="H165" s="3" t="e">
        <f>#REF!</f>
        <v>#REF!</v>
      </c>
    </row>
    <row r="166" spans="1:8" ht="30.75" customHeight="1">
      <c r="A166" s="205" t="s">
        <v>0</v>
      </c>
      <c r="B166" s="53" t="s">
        <v>20</v>
      </c>
      <c r="C166" s="53"/>
      <c r="D166" s="95"/>
      <c r="E166" s="96"/>
      <c r="F166" s="103">
        <f>SUM(F167:F167)</f>
        <v>368.7</v>
      </c>
      <c r="G166" s="7"/>
      <c r="H166" s="47"/>
    </row>
    <row r="167" spans="1:8" ht="31.5">
      <c r="A167" s="197" t="s">
        <v>168</v>
      </c>
      <c r="B167" s="56" t="s">
        <v>20</v>
      </c>
      <c r="C167" s="56" t="s">
        <v>161</v>
      </c>
      <c r="D167" s="56" t="s">
        <v>43</v>
      </c>
      <c r="E167" s="56" t="s">
        <v>50</v>
      </c>
      <c r="F167" s="93">
        <f>100+174.9+105.7-11.9</f>
        <v>368.7</v>
      </c>
      <c r="G167" s="5">
        <v>985</v>
      </c>
      <c r="H167" s="11">
        <v>1035</v>
      </c>
    </row>
    <row r="168" spans="1:8" ht="109.5" customHeight="1">
      <c r="A168" s="205" t="s">
        <v>193</v>
      </c>
      <c r="B168" s="53" t="s">
        <v>21</v>
      </c>
      <c r="C168" s="53"/>
      <c r="D168" s="95"/>
      <c r="E168" s="96"/>
      <c r="F168" s="103">
        <f>SUM(F169:F171)</f>
        <v>567.7</v>
      </c>
      <c r="G168" s="5">
        <v>1275</v>
      </c>
      <c r="H168" s="11">
        <v>1340</v>
      </c>
    </row>
    <row r="169" spans="1:8" ht="32.25" customHeight="1">
      <c r="A169" s="206" t="s">
        <v>168</v>
      </c>
      <c r="B169" s="60" t="s">
        <v>21</v>
      </c>
      <c r="C169" s="60" t="s">
        <v>161</v>
      </c>
      <c r="D169" s="60" t="s">
        <v>41</v>
      </c>
      <c r="E169" s="60" t="s">
        <v>51</v>
      </c>
      <c r="F169" s="109">
        <f>71.5-3.9</f>
        <v>67.6</v>
      </c>
      <c r="G169" s="29"/>
      <c r="H169" s="32"/>
    </row>
    <row r="170" spans="1:8" ht="31.5">
      <c r="A170" s="206" t="s">
        <v>168</v>
      </c>
      <c r="B170" s="60" t="s">
        <v>21</v>
      </c>
      <c r="C170" s="60" t="s">
        <v>161</v>
      </c>
      <c r="D170" s="60" t="s">
        <v>46</v>
      </c>
      <c r="E170" s="60" t="s">
        <v>41</v>
      </c>
      <c r="F170" s="109">
        <f>117-9.1</f>
        <v>107.9</v>
      </c>
      <c r="G170" s="29"/>
      <c r="H170" s="32"/>
    </row>
    <row r="171" spans="1:8" ht="15.75">
      <c r="A171" s="197" t="s">
        <v>177</v>
      </c>
      <c r="B171" s="56" t="s">
        <v>21</v>
      </c>
      <c r="C171" s="56" t="s">
        <v>165</v>
      </c>
      <c r="D171" s="56" t="s">
        <v>46</v>
      </c>
      <c r="E171" s="56" t="s">
        <v>41</v>
      </c>
      <c r="F171" s="93">
        <f>337.6+54.6</f>
        <v>392.20000000000005</v>
      </c>
      <c r="G171" s="29"/>
      <c r="H171" s="32"/>
    </row>
    <row r="172" spans="1:8" ht="15" customHeight="1">
      <c r="A172" s="205" t="s">
        <v>281</v>
      </c>
      <c r="B172" s="53" t="s">
        <v>22</v>
      </c>
      <c r="C172" s="53"/>
      <c r="D172" s="95"/>
      <c r="E172" s="96"/>
      <c r="F172" s="103">
        <f>SUM(F173:F175)</f>
        <v>139</v>
      </c>
      <c r="G172" s="2">
        <f>SUM(G173:G173)</f>
        <v>1667.5</v>
      </c>
      <c r="H172" s="2">
        <f>SUM(H173:H173)</f>
        <v>1667.5</v>
      </c>
    </row>
    <row r="173" spans="1:8" ht="34.5" customHeight="1">
      <c r="A173" s="206" t="s">
        <v>150</v>
      </c>
      <c r="B173" s="60" t="s">
        <v>22</v>
      </c>
      <c r="C173" s="60" t="s">
        <v>161</v>
      </c>
      <c r="D173" s="60" t="s">
        <v>41</v>
      </c>
      <c r="E173" s="60" t="s">
        <v>51</v>
      </c>
      <c r="F173" s="109">
        <v>100</v>
      </c>
      <c r="G173" s="5">
        <v>1667.5</v>
      </c>
      <c r="H173" s="5">
        <v>1667.5</v>
      </c>
    </row>
    <row r="174" spans="1:8" ht="29.25" customHeight="1">
      <c r="A174" s="206" t="s">
        <v>150</v>
      </c>
      <c r="B174" s="60" t="s">
        <v>22</v>
      </c>
      <c r="C174" s="60" t="s">
        <v>161</v>
      </c>
      <c r="D174" s="60" t="s">
        <v>46</v>
      </c>
      <c r="E174" s="60" t="s">
        <v>41</v>
      </c>
      <c r="F174" s="109">
        <f>13.2-1.2</f>
        <v>12</v>
      </c>
      <c r="G174" s="29"/>
      <c r="H174" s="29"/>
    </row>
    <row r="175" spans="1:8" ht="21.75" customHeight="1">
      <c r="A175" s="197" t="s">
        <v>177</v>
      </c>
      <c r="B175" s="56" t="s">
        <v>22</v>
      </c>
      <c r="C175" s="56" t="s">
        <v>165</v>
      </c>
      <c r="D175" s="56" t="s">
        <v>46</v>
      </c>
      <c r="E175" s="56" t="s">
        <v>41</v>
      </c>
      <c r="F175" s="93">
        <f>75-48</f>
        <v>27</v>
      </c>
      <c r="G175" s="29"/>
      <c r="H175" s="29"/>
    </row>
    <row r="176" spans="1:8" ht="50.25" customHeight="1">
      <c r="A176" s="193" t="s">
        <v>280</v>
      </c>
      <c r="B176" s="75" t="s">
        <v>23</v>
      </c>
      <c r="C176" s="75"/>
      <c r="D176" s="76"/>
      <c r="E176" s="77"/>
      <c r="F176" s="78">
        <f>F177</f>
        <v>6270</v>
      </c>
      <c r="G176" s="48"/>
      <c r="H176" s="48"/>
    </row>
    <row r="177" spans="1:8" ht="31.5">
      <c r="A177" s="208" t="s">
        <v>24</v>
      </c>
      <c r="B177" s="79" t="s">
        <v>26</v>
      </c>
      <c r="C177" s="79"/>
      <c r="D177" s="80"/>
      <c r="E177" s="81"/>
      <c r="F177" s="82">
        <f>F178+F180</f>
        <v>6270</v>
      </c>
      <c r="G177" s="48"/>
      <c r="H177" s="48"/>
    </row>
    <row r="178" spans="1:8" ht="54.75" customHeight="1">
      <c r="A178" s="231" t="s">
        <v>27</v>
      </c>
      <c r="B178" s="59" t="s">
        <v>28</v>
      </c>
      <c r="C178" s="117"/>
      <c r="D178" s="117"/>
      <c r="E178" s="117"/>
      <c r="F178" s="97">
        <f>F179</f>
        <v>570</v>
      </c>
      <c r="G178" s="48"/>
      <c r="H178" s="48"/>
    </row>
    <row r="179" spans="1:8" ht="33.75" customHeight="1">
      <c r="A179" s="232" t="s">
        <v>168</v>
      </c>
      <c r="B179" s="60" t="s">
        <v>28</v>
      </c>
      <c r="C179" s="60" t="s">
        <v>161</v>
      </c>
      <c r="D179" s="60" t="s">
        <v>43</v>
      </c>
      <c r="E179" s="60" t="s">
        <v>53</v>
      </c>
      <c r="F179" s="109">
        <f>570</f>
        <v>570</v>
      </c>
      <c r="G179" s="48"/>
      <c r="H179" s="48"/>
    </row>
    <row r="180" spans="1:8" ht="50.25" customHeight="1">
      <c r="A180" s="231" t="s">
        <v>27</v>
      </c>
      <c r="B180" s="59" t="s">
        <v>29</v>
      </c>
      <c r="C180" s="117"/>
      <c r="D180" s="117"/>
      <c r="E180" s="117"/>
      <c r="F180" s="97">
        <f>F181</f>
        <v>5700</v>
      </c>
      <c r="G180" s="48"/>
      <c r="H180" s="48"/>
    </row>
    <row r="181" spans="1:8" ht="30" customHeight="1">
      <c r="A181" s="233" t="s">
        <v>168</v>
      </c>
      <c r="B181" s="150" t="s">
        <v>29</v>
      </c>
      <c r="C181" s="150" t="s">
        <v>161</v>
      </c>
      <c r="D181" s="151" t="s">
        <v>43</v>
      </c>
      <c r="E181" s="151" t="s">
        <v>53</v>
      </c>
      <c r="F181" s="154">
        <v>5700</v>
      </c>
      <c r="G181" s="5">
        <v>1167.1</v>
      </c>
      <c r="H181" s="5">
        <v>1167.1</v>
      </c>
    </row>
    <row r="182" spans="1:8" ht="45.75" customHeight="1">
      <c r="A182" s="234" t="s">
        <v>133</v>
      </c>
      <c r="B182" s="155" t="s">
        <v>25</v>
      </c>
      <c r="C182" s="155"/>
      <c r="D182" s="156"/>
      <c r="E182" s="157"/>
      <c r="F182" s="74">
        <f>F184</f>
        <v>624.1</v>
      </c>
      <c r="G182" s="12" t="e">
        <f>G183+G186+#REF!+G187+G184</f>
        <v>#REF!</v>
      </c>
      <c r="H182" s="12" t="e">
        <f>H183+H186+#REF!+H187+H184</f>
        <v>#REF!</v>
      </c>
    </row>
    <row r="183" spans="1:8" ht="33" customHeight="1">
      <c r="A183" s="200" t="s">
        <v>30</v>
      </c>
      <c r="B183" s="53" t="s">
        <v>32</v>
      </c>
      <c r="C183" s="53"/>
      <c r="D183" s="95"/>
      <c r="E183" s="96"/>
      <c r="F183" s="103">
        <f>F184</f>
        <v>624.1</v>
      </c>
      <c r="G183" s="8">
        <v>44.1</v>
      </c>
      <c r="H183" s="8">
        <v>44.1</v>
      </c>
    </row>
    <row r="184" spans="1:8" ht="17.25" customHeight="1">
      <c r="A184" s="198" t="s">
        <v>277</v>
      </c>
      <c r="B184" s="53" t="s">
        <v>31</v>
      </c>
      <c r="C184" s="129"/>
      <c r="D184" s="129"/>
      <c r="E184" s="53"/>
      <c r="F184" s="85">
        <f>F185</f>
        <v>624.1</v>
      </c>
      <c r="G184" s="4">
        <v>60</v>
      </c>
      <c r="H184" s="4">
        <v>60</v>
      </c>
    </row>
    <row r="185" spans="1:8" ht="33" customHeight="1">
      <c r="A185" s="235" t="s">
        <v>168</v>
      </c>
      <c r="B185" s="60" t="s">
        <v>31</v>
      </c>
      <c r="C185" s="60" t="s">
        <v>161</v>
      </c>
      <c r="D185" s="60" t="s">
        <v>41</v>
      </c>
      <c r="E185" s="60" t="s">
        <v>51</v>
      </c>
      <c r="F185" s="87">
        <f>60+424+286-145.9</f>
        <v>624.1</v>
      </c>
      <c r="G185" s="4"/>
      <c r="H185" s="4"/>
    </row>
    <row r="186" spans="1:8" ht="30" customHeight="1">
      <c r="A186" s="236" t="s">
        <v>159</v>
      </c>
      <c r="B186" s="158" t="s">
        <v>33</v>
      </c>
      <c r="C186" s="158"/>
      <c r="D186" s="159"/>
      <c r="E186" s="159"/>
      <c r="F186" s="160">
        <f>F187</f>
        <v>40</v>
      </c>
      <c r="G186" s="4">
        <v>105.6</v>
      </c>
      <c r="H186" s="4">
        <v>105.6</v>
      </c>
    </row>
    <row r="187" spans="1:8" ht="36" customHeight="1">
      <c r="A187" s="237" t="s">
        <v>278</v>
      </c>
      <c r="B187" s="161" t="s">
        <v>34</v>
      </c>
      <c r="C187" s="162"/>
      <c r="D187" s="163"/>
      <c r="E187" s="163"/>
      <c r="F187" s="164">
        <f>F189</f>
        <v>40</v>
      </c>
      <c r="G187" s="4">
        <v>180</v>
      </c>
      <c r="H187" s="4">
        <v>180</v>
      </c>
    </row>
    <row r="188" spans="1:8" ht="32.25" customHeight="1">
      <c r="A188" s="238" t="s">
        <v>30</v>
      </c>
      <c r="B188" s="149" t="s">
        <v>36</v>
      </c>
      <c r="C188" s="150"/>
      <c r="D188" s="151"/>
      <c r="E188" s="151"/>
      <c r="F188" s="165">
        <f>F189</f>
        <v>40</v>
      </c>
      <c r="G188" s="12" t="e">
        <f>G190+#REF!+#REF!</f>
        <v>#REF!</v>
      </c>
      <c r="H188" s="12" t="e">
        <f>H190+#REF!+#REF!</f>
        <v>#REF!</v>
      </c>
    </row>
    <row r="189" spans="1:8" ht="14.25" customHeight="1">
      <c r="A189" s="239" t="s">
        <v>279</v>
      </c>
      <c r="B189" s="166" t="s">
        <v>35</v>
      </c>
      <c r="C189" s="105"/>
      <c r="D189" s="104"/>
      <c r="E189" s="104"/>
      <c r="F189" s="167">
        <f>F190</f>
        <v>40</v>
      </c>
      <c r="G189" s="12"/>
      <c r="H189" s="12"/>
    </row>
    <row r="190" spans="1:8" ht="32.25" customHeight="1">
      <c r="A190" s="240" t="s">
        <v>168</v>
      </c>
      <c r="B190" s="105" t="s">
        <v>35</v>
      </c>
      <c r="C190" s="105" t="s">
        <v>161</v>
      </c>
      <c r="D190" s="105" t="s">
        <v>42</v>
      </c>
      <c r="E190" s="105" t="s">
        <v>49</v>
      </c>
      <c r="F190" s="167">
        <v>40</v>
      </c>
      <c r="G190" s="3">
        <f>SUM(G191:G192)</f>
        <v>44154.2</v>
      </c>
      <c r="H190" s="3">
        <f>SUM(H191:H192)</f>
        <v>44154.2</v>
      </c>
    </row>
    <row r="191" spans="1:8" ht="19.5" customHeight="1">
      <c r="A191" s="241" t="s">
        <v>185</v>
      </c>
      <c r="B191" s="119" t="s">
        <v>54</v>
      </c>
      <c r="C191" s="158" t="s">
        <v>154</v>
      </c>
      <c r="D191" s="159"/>
      <c r="E191" s="168"/>
      <c r="F191" s="122">
        <f>F192+F196+F204+F214+F218</f>
        <v>28189.500000000004</v>
      </c>
      <c r="G191" s="8">
        <f>38546.5-2792.5</f>
        <v>35754</v>
      </c>
      <c r="H191" s="9">
        <f>38546.5-2792.5</f>
        <v>35754</v>
      </c>
    </row>
    <row r="192" spans="1:8" ht="34.5" customHeight="1">
      <c r="A192" s="222" t="s">
        <v>186</v>
      </c>
      <c r="B192" s="57" t="s">
        <v>55</v>
      </c>
      <c r="C192" s="53"/>
      <c r="D192" s="95"/>
      <c r="E192" s="96"/>
      <c r="F192" s="103">
        <f>F194</f>
        <v>1682.6</v>
      </c>
      <c r="G192" s="4">
        <v>8400.2</v>
      </c>
      <c r="H192" s="10">
        <v>8400.2</v>
      </c>
    </row>
    <row r="193" spans="1:8" ht="17.25" customHeight="1">
      <c r="A193" s="199" t="s">
        <v>151</v>
      </c>
      <c r="B193" s="123" t="s">
        <v>56</v>
      </c>
      <c r="C193" s="99"/>
      <c r="D193" s="100"/>
      <c r="E193" s="101"/>
      <c r="F193" s="102">
        <f>F192</f>
        <v>1682.6</v>
      </c>
      <c r="G193" s="4">
        <v>408.3</v>
      </c>
      <c r="H193" s="10">
        <v>408.3</v>
      </c>
    </row>
    <row r="194" spans="1:8" ht="31.5" customHeight="1">
      <c r="A194" s="242" t="s">
        <v>57</v>
      </c>
      <c r="B194" s="94" t="s">
        <v>58</v>
      </c>
      <c r="C194" s="59"/>
      <c r="D194" s="169"/>
      <c r="E194" s="170"/>
      <c r="F194" s="97">
        <f>SUM(F195:F195)</f>
        <v>1682.6</v>
      </c>
      <c r="G194" s="4">
        <v>249.9</v>
      </c>
      <c r="H194" s="10">
        <v>249.9</v>
      </c>
    </row>
    <row r="195" spans="1:8" ht="24" customHeight="1">
      <c r="A195" s="201" t="s">
        <v>174</v>
      </c>
      <c r="B195" s="35" t="s">
        <v>58</v>
      </c>
      <c r="C195" s="56" t="s">
        <v>163</v>
      </c>
      <c r="D195" s="86" t="s">
        <v>41</v>
      </c>
      <c r="E195" s="86" t="s">
        <v>44</v>
      </c>
      <c r="F195" s="93">
        <f>1669.8+12.8</f>
        <v>1682.6</v>
      </c>
      <c r="G195" s="4">
        <v>25.3</v>
      </c>
      <c r="H195" s="10">
        <v>25.3</v>
      </c>
    </row>
    <row r="196" spans="1:8" ht="31.5" customHeight="1">
      <c r="A196" s="199" t="s">
        <v>187</v>
      </c>
      <c r="B196" s="123" t="s">
        <v>59</v>
      </c>
      <c r="C196" s="99"/>
      <c r="D196" s="100"/>
      <c r="E196" s="101"/>
      <c r="F196" s="102">
        <f>F198+F200</f>
        <v>2886.2999999999997</v>
      </c>
      <c r="G196" s="4">
        <v>2.5</v>
      </c>
      <c r="H196" s="10">
        <v>2.5</v>
      </c>
    </row>
    <row r="197" spans="1:8" ht="18" customHeight="1">
      <c r="A197" s="199" t="s">
        <v>151</v>
      </c>
      <c r="B197" s="39" t="s">
        <v>60</v>
      </c>
      <c r="C197" s="99"/>
      <c r="D197" s="100"/>
      <c r="E197" s="101"/>
      <c r="F197" s="102">
        <f>F196</f>
        <v>2886.2999999999997</v>
      </c>
      <c r="G197" s="4"/>
      <c r="H197" s="10"/>
    </row>
    <row r="198" spans="1:8" ht="30.75" customHeight="1">
      <c r="A198" s="222" t="s">
        <v>57</v>
      </c>
      <c r="B198" s="53" t="s">
        <v>61</v>
      </c>
      <c r="C198" s="53"/>
      <c r="D198" s="95"/>
      <c r="E198" s="96"/>
      <c r="F198" s="103">
        <f>F199</f>
        <v>1274.9999999999998</v>
      </c>
      <c r="G198" s="4">
        <v>544.3</v>
      </c>
      <c r="H198" s="10">
        <v>544.3</v>
      </c>
    </row>
    <row r="199" spans="1:8" ht="20.25" customHeight="1">
      <c r="A199" s="197" t="s">
        <v>175</v>
      </c>
      <c r="B199" s="56" t="s">
        <v>61</v>
      </c>
      <c r="C199" s="56" t="s">
        <v>163</v>
      </c>
      <c r="D199" s="86" t="s">
        <v>41</v>
      </c>
      <c r="E199" s="86" t="s">
        <v>43</v>
      </c>
      <c r="F199" s="93">
        <f>1256.3+39.1-20.4</f>
        <v>1274.9999999999998</v>
      </c>
      <c r="G199" s="4">
        <v>678.5</v>
      </c>
      <c r="H199" s="10">
        <v>678.5</v>
      </c>
    </row>
    <row r="200" spans="1:8" ht="19.5" customHeight="1">
      <c r="A200" s="222" t="s">
        <v>62</v>
      </c>
      <c r="B200" s="57" t="s">
        <v>63</v>
      </c>
      <c r="C200" s="53"/>
      <c r="D200" s="95"/>
      <c r="E200" s="96"/>
      <c r="F200" s="103">
        <f>F201+F202+F203</f>
        <v>1611.3</v>
      </c>
      <c r="G200" s="5">
        <v>3.5</v>
      </c>
      <c r="H200" s="11">
        <v>3.5</v>
      </c>
    </row>
    <row r="201" spans="1:8" ht="17.25" customHeight="1" hidden="1">
      <c r="A201" s="243" t="s">
        <v>175</v>
      </c>
      <c r="B201" s="117" t="s">
        <v>63</v>
      </c>
      <c r="C201" s="117" t="s">
        <v>163</v>
      </c>
      <c r="D201" s="171" t="s">
        <v>41</v>
      </c>
      <c r="E201" s="171" t="s">
        <v>43</v>
      </c>
      <c r="F201" s="118">
        <v>0</v>
      </c>
      <c r="G201" s="5">
        <v>1884</v>
      </c>
      <c r="H201" s="11">
        <v>1884</v>
      </c>
    </row>
    <row r="202" spans="1:8" ht="31.5" customHeight="1">
      <c r="A202" s="218" t="s">
        <v>168</v>
      </c>
      <c r="B202" s="105" t="s">
        <v>63</v>
      </c>
      <c r="C202" s="105" t="s">
        <v>161</v>
      </c>
      <c r="D202" s="104" t="s">
        <v>41</v>
      </c>
      <c r="E202" s="104" t="s">
        <v>43</v>
      </c>
      <c r="F202" s="106">
        <f>1928.3-101.7-264.6+8.7</f>
        <v>1570.7</v>
      </c>
      <c r="G202" s="12" t="e">
        <f>#REF!</f>
        <v>#REF!</v>
      </c>
      <c r="H202" s="20" t="e">
        <f>#REF!</f>
        <v>#REF!</v>
      </c>
    </row>
    <row r="203" spans="1:8" ht="18" customHeight="1">
      <c r="A203" s="218" t="s">
        <v>171</v>
      </c>
      <c r="B203" s="105" t="s">
        <v>63</v>
      </c>
      <c r="C203" s="105" t="s">
        <v>164</v>
      </c>
      <c r="D203" s="104" t="s">
        <v>41</v>
      </c>
      <c r="E203" s="104" t="s">
        <v>43</v>
      </c>
      <c r="F203" s="106">
        <f>45.6-5</f>
        <v>40.6</v>
      </c>
      <c r="G203" s="5">
        <v>946.5</v>
      </c>
      <c r="H203" s="5">
        <v>946.5</v>
      </c>
    </row>
    <row r="204" spans="1:8" ht="18" customHeight="1">
      <c r="A204" s="199" t="s">
        <v>147</v>
      </c>
      <c r="B204" s="123" t="s">
        <v>64</v>
      </c>
      <c r="C204" s="99"/>
      <c r="D204" s="100"/>
      <c r="E204" s="101"/>
      <c r="F204" s="102">
        <f>F206+F208+F210</f>
        <v>19948.300000000003</v>
      </c>
      <c r="G204" s="3">
        <f>G205</f>
        <v>1567.3</v>
      </c>
      <c r="H204" s="3">
        <f>H205</f>
        <v>1567.3</v>
      </c>
    </row>
    <row r="205" spans="1:8" ht="17.25" customHeight="1">
      <c r="A205" s="199" t="s">
        <v>151</v>
      </c>
      <c r="B205" s="123" t="s">
        <v>65</v>
      </c>
      <c r="C205" s="99"/>
      <c r="D205" s="100"/>
      <c r="E205" s="101"/>
      <c r="F205" s="102">
        <f>F204</f>
        <v>19948.300000000003</v>
      </c>
      <c r="G205" s="5">
        <v>1567.3</v>
      </c>
      <c r="H205" s="5">
        <v>1567.3</v>
      </c>
    </row>
    <row r="206" spans="1:8" ht="30.75" customHeight="1">
      <c r="A206" s="222" t="s">
        <v>57</v>
      </c>
      <c r="B206" s="53" t="s">
        <v>66</v>
      </c>
      <c r="C206" s="53"/>
      <c r="D206" s="95"/>
      <c r="E206" s="96"/>
      <c r="F206" s="103">
        <f>SUM(F207:F207)</f>
        <v>16255.2</v>
      </c>
      <c r="G206" s="3" t="e">
        <f>#REF!</f>
        <v>#REF!</v>
      </c>
      <c r="H206" s="3" t="e">
        <f>#REF!</f>
        <v>#REF!</v>
      </c>
    </row>
    <row r="207" spans="1:8" ht="17.25" customHeight="1">
      <c r="A207" s="243" t="s">
        <v>175</v>
      </c>
      <c r="B207" s="117" t="s">
        <v>66</v>
      </c>
      <c r="C207" s="117" t="s">
        <v>163</v>
      </c>
      <c r="D207" s="117" t="s">
        <v>41</v>
      </c>
      <c r="E207" s="117" t="s">
        <v>42</v>
      </c>
      <c r="F207" s="118">
        <f>16454.2-75-124</f>
        <v>16255.2</v>
      </c>
      <c r="G207" s="54"/>
      <c r="H207" s="54"/>
    </row>
    <row r="208" spans="1:8" ht="47.25">
      <c r="A208" s="222" t="s">
        <v>68</v>
      </c>
      <c r="B208" s="53" t="s">
        <v>67</v>
      </c>
      <c r="C208" s="53"/>
      <c r="D208" s="95"/>
      <c r="E208" s="96"/>
      <c r="F208" s="103">
        <f>SUM(F209:F209)</f>
        <v>1290.9</v>
      </c>
      <c r="G208" s="9">
        <v>577.1</v>
      </c>
      <c r="H208" s="9">
        <v>577.1</v>
      </c>
    </row>
    <row r="209" spans="1:8" ht="16.5" customHeight="1">
      <c r="A209" s="243" t="s">
        <v>175</v>
      </c>
      <c r="B209" s="117" t="s">
        <v>67</v>
      </c>
      <c r="C209" s="117" t="s">
        <v>163</v>
      </c>
      <c r="D209" s="117" t="s">
        <v>41</v>
      </c>
      <c r="E209" s="117" t="s">
        <v>42</v>
      </c>
      <c r="F209" s="118">
        <f>1353.9-63</f>
        <v>1290.9</v>
      </c>
      <c r="G209" s="10">
        <v>8.6</v>
      </c>
      <c r="H209" s="10">
        <v>9.1</v>
      </c>
    </row>
    <row r="210" spans="1:8" ht="18" customHeight="1">
      <c r="A210" s="216" t="s">
        <v>69</v>
      </c>
      <c r="B210" s="79" t="s">
        <v>70</v>
      </c>
      <c r="C210" s="79"/>
      <c r="D210" s="80"/>
      <c r="E210" s="81"/>
      <c r="F210" s="82">
        <f>SUM(F211:F213)</f>
        <v>2402.2000000000003</v>
      </c>
      <c r="G210" s="11">
        <v>36.6</v>
      </c>
      <c r="H210" s="11">
        <v>36.1</v>
      </c>
    </row>
    <row r="211" spans="1:8" ht="19.5" customHeight="1">
      <c r="A211" s="243" t="s">
        <v>175</v>
      </c>
      <c r="B211" s="117" t="s">
        <v>70</v>
      </c>
      <c r="C211" s="117" t="s">
        <v>163</v>
      </c>
      <c r="D211" s="117" t="s">
        <v>41</v>
      </c>
      <c r="E211" s="117" t="s">
        <v>42</v>
      </c>
      <c r="F211" s="118">
        <f>136.5-4</f>
        <v>132.5</v>
      </c>
      <c r="G211" s="32"/>
      <c r="H211" s="32"/>
    </row>
    <row r="212" spans="1:8" ht="30.75" customHeight="1">
      <c r="A212" s="218" t="s">
        <v>168</v>
      </c>
      <c r="B212" s="105" t="s">
        <v>70</v>
      </c>
      <c r="C212" s="105" t="s">
        <v>161</v>
      </c>
      <c r="D212" s="105" t="s">
        <v>41</v>
      </c>
      <c r="E212" s="105" t="s">
        <v>42</v>
      </c>
      <c r="F212" s="106">
        <f>2382+41.9-178.1</f>
        <v>2245.8</v>
      </c>
      <c r="G212" s="32"/>
      <c r="H212" s="32"/>
    </row>
    <row r="213" spans="1:8" ht="18.75" customHeight="1">
      <c r="A213" s="218" t="s">
        <v>171</v>
      </c>
      <c r="B213" s="105" t="s">
        <v>70</v>
      </c>
      <c r="C213" s="105" t="s">
        <v>164</v>
      </c>
      <c r="D213" s="105" t="s">
        <v>41</v>
      </c>
      <c r="E213" s="105" t="s">
        <v>42</v>
      </c>
      <c r="F213" s="106">
        <f>44.4-20.5</f>
        <v>23.9</v>
      </c>
      <c r="G213" s="9">
        <v>478.3</v>
      </c>
      <c r="H213" s="9">
        <v>526.2</v>
      </c>
    </row>
    <row r="214" spans="1:8" ht="14.25" customHeight="1">
      <c r="A214" s="199" t="s">
        <v>136</v>
      </c>
      <c r="B214" s="123" t="s">
        <v>72</v>
      </c>
      <c r="C214" s="99"/>
      <c r="D214" s="100"/>
      <c r="E214" s="101"/>
      <c r="F214" s="102">
        <f>F216</f>
        <v>2443.1</v>
      </c>
      <c r="G214" s="6">
        <f>SUM(G215:G217)</f>
        <v>2273.3999999999996</v>
      </c>
      <c r="H214" s="6">
        <f>SUM(H215:H217)</f>
        <v>2273.3999999999996</v>
      </c>
    </row>
    <row r="215" spans="1:8" ht="18" customHeight="1">
      <c r="A215" s="199" t="s">
        <v>151</v>
      </c>
      <c r="B215" s="123" t="s">
        <v>71</v>
      </c>
      <c r="C215" s="99"/>
      <c r="D215" s="100"/>
      <c r="E215" s="101"/>
      <c r="F215" s="102">
        <f>F216</f>
        <v>2443.1</v>
      </c>
      <c r="G215" s="4">
        <f>30+5</f>
        <v>35</v>
      </c>
      <c r="H215" s="10">
        <f>30+5</f>
        <v>35</v>
      </c>
    </row>
    <row r="216" spans="1:8" ht="33.75" customHeight="1">
      <c r="A216" s="242" t="s">
        <v>57</v>
      </c>
      <c r="B216" s="59" t="s">
        <v>73</v>
      </c>
      <c r="C216" s="59"/>
      <c r="D216" s="59"/>
      <c r="E216" s="172"/>
      <c r="F216" s="97">
        <f>F217</f>
        <v>2443.1</v>
      </c>
      <c r="G216" s="4"/>
      <c r="H216" s="10"/>
    </row>
    <row r="217" spans="1:8" ht="15.75">
      <c r="A217" s="197" t="s">
        <v>175</v>
      </c>
      <c r="B217" s="56" t="s">
        <v>73</v>
      </c>
      <c r="C217" s="56" t="s">
        <v>163</v>
      </c>
      <c r="D217" s="56" t="s">
        <v>41</v>
      </c>
      <c r="E217" s="56" t="s">
        <v>42</v>
      </c>
      <c r="F217" s="93">
        <f>1903+300.9+239.2</f>
        <v>2443.1</v>
      </c>
      <c r="G217" s="4">
        <f>676.6+441.2+1120.6</f>
        <v>2238.3999999999996</v>
      </c>
      <c r="H217" s="10">
        <f>676.6+441.2+1120.6</f>
        <v>2238.3999999999996</v>
      </c>
    </row>
    <row r="218" spans="1:8" ht="29.25" customHeight="1">
      <c r="A218" s="199" t="s">
        <v>148</v>
      </c>
      <c r="B218" s="123" t="s">
        <v>78</v>
      </c>
      <c r="C218" s="99"/>
      <c r="D218" s="100"/>
      <c r="E218" s="101"/>
      <c r="F218" s="102">
        <f>F220+F223</f>
        <v>1229.1999999999998</v>
      </c>
      <c r="G218" s="2" t="e">
        <f>SUM(#REF!)</f>
        <v>#REF!</v>
      </c>
      <c r="H218" s="13" t="e">
        <f>SUM(#REF!)</f>
        <v>#REF!</v>
      </c>
    </row>
    <row r="219" spans="1:8" ht="21" customHeight="1">
      <c r="A219" s="199" t="s">
        <v>151</v>
      </c>
      <c r="B219" s="123" t="s">
        <v>74</v>
      </c>
      <c r="C219" s="99"/>
      <c r="D219" s="100"/>
      <c r="E219" s="101"/>
      <c r="F219" s="102">
        <f>F218</f>
        <v>1229.1999999999998</v>
      </c>
      <c r="G219" s="2" t="e">
        <f>#REF!</f>
        <v>#REF!</v>
      </c>
      <c r="H219" s="2" t="e">
        <f>#REF!</f>
        <v>#REF!</v>
      </c>
    </row>
    <row r="220" spans="1:8" ht="33" customHeight="1">
      <c r="A220" s="222" t="s">
        <v>178</v>
      </c>
      <c r="B220" s="53" t="s">
        <v>75</v>
      </c>
      <c r="C220" s="53"/>
      <c r="D220" s="95"/>
      <c r="E220" s="96"/>
      <c r="F220" s="103">
        <f>SUM(F221:F222)</f>
        <v>608.1</v>
      </c>
      <c r="G220" s="7"/>
      <c r="H220" s="7"/>
    </row>
    <row r="221" spans="1:8" ht="17.25" customHeight="1">
      <c r="A221" s="243" t="s">
        <v>175</v>
      </c>
      <c r="B221" s="117" t="s">
        <v>75</v>
      </c>
      <c r="C221" s="117" t="s">
        <v>163</v>
      </c>
      <c r="D221" s="171" t="s">
        <v>41</v>
      </c>
      <c r="E221" s="171" t="s">
        <v>42</v>
      </c>
      <c r="F221" s="173">
        <v>582.9</v>
      </c>
      <c r="G221" s="29"/>
      <c r="H221" s="29"/>
    </row>
    <row r="222" spans="1:8" ht="36" customHeight="1">
      <c r="A222" s="218" t="s">
        <v>168</v>
      </c>
      <c r="B222" s="105" t="s">
        <v>75</v>
      </c>
      <c r="C222" s="105" t="s">
        <v>161</v>
      </c>
      <c r="D222" s="104" t="s">
        <v>41</v>
      </c>
      <c r="E222" s="104" t="s">
        <v>42</v>
      </c>
      <c r="F222" s="174">
        <v>25.2</v>
      </c>
      <c r="G222" s="3">
        <f>G223</f>
        <v>258.6</v>
      </c>
      <c r="H222" s="3">
        <f>H223</f>
        <v>258.6</v>
      </c>
    </row>
    <row r="223" spans="1:8" ht="31.5">
      <c r="A223" s="222" t="s">
        <v>179</v>
      </c>
      <c r="B223" s="53" t="s">
        <v>76</v>
      </c>
      <c r="C223" s="53"/>
      <c r="D223" s="95"/>
      <c r="E223" s="96"/>
      <c r="F223" s="103">
        <f>SUM(F224:F225)</f>
        <v>621.0999999999999</v>
      </c>
      <c r="G223" s="5">
        <v>258.6</v>
      </c>
      <c r="H223" s="5">
        <v>258.6</v>
      </c>
    </row>
    <row r="224" spans="1:8" ht="17.25" customHeight="1">
      <c r="A224" s="243" t="s">
        <v>175</v>
      </c>
      <c r="B224" s="117" t="s">
        <v>76</v>
      </c>
      <c r="C224" s="117" t="s">
        <v>163</v>
      </c>
      <c r="D224" s="171" t="s">
        <v>41</v>
      </c>
      <c r="E224" s="171" t="s">
        <v>42</v>
      </c>
      <c r="F224" s="173">
        <f>582.9+0.3-0.2</f>
        <v>582.9999999999999</v>
      </c>
      <c r="G224" s="29"/>
      <c r="H224" s="29"/>
    </row>
    <row r="225" spans="1:8" ht="15.75" customHeight="1">
      <c r="A225" s="218" t="s">
        <v>168</v>
      </c>
      <c r="B225" s="105" t="s">
        <v>76</v>
      </c>
      <c r="C225" s="105" t="s">
        <v>161</v>
      </c>
      <c r="D225" s="104" t="s">
        <v>41</v>
      </c>
      <c r="E225" s="104" t="s">
        <v>42</v>
      </c>
      <c r="F225" s="174">
        <f>38.2-0.3+0.2</f>
        <v>38.10000000000001</v>
      </c>
      <c r="G225" s="29"/>
      <c r="H225" s="29"/>
    </row>
    <row r="226" spans="1:8" ht="15.75" customHeight="1">
      <c r="A226" s="234" t="s">
        <v>137</v>
      </c>
      <c r="B226" s="155" t="s">
        <v>77</v>
      </c>
      <c r="C226" s="155"/>
      <c r="D226" s="156"/>
      <c r="E226" s="157"/>
      <c r="F226" s="74">
        <f>F227</f>
        <v>16582.899999999994</v>
      </c>
      <c r="G226" s="3">
        <f>G227</f>
        <v>11221.2</v>
      </c>
      <c r="H226" s="3">
        <f>H227</f>
        <v>11771.2</v>
      </c>
    </row>
    <row r="227" spans="1:8" ht="15.75">
      <c r="A227" s="222" t="s">
        <v>151</v>
      </c>
      <c r="B227" s="53" t="s">
        <v>79</v>
      </c>
      <c r="C227" s="53" t="s">
        <v>154</v>
      </c>
      <c r="D227" s="95"/>
      <c r="E227" s="96"/>
      <c r="F227" s="103">
        <f>F234+F232+F236+F240+F244+F246+F248+F250+F252+F254+F256+F258+F260+F262+F229+F264+F266+F277+F242+F279+F281+F283+F285+F287+F238+F268+F270+F273+F275</f>
        <v>16582.899999999994</v>
      </c>
      <c r="G227" s="5">
        <f>10950+271.2</f>
        <v>11221.2</v>
      </c>
      <c r="H227" s="5">
        <f>11500+271.2</f>
        <v>11771.2</v>
      </c>
    </row>
    <row r="228" spans="1:8" ht="18.75" customHeight="1">
      <c r="A228" s="222" t="s">
        <v>151</v>
      </c>
      <c r="B228" s="53" t="s">
        <v>80</v>
      </c>
      <c r="C228" s="53"/>
      <c r="D228" s="95"/>
      <c r="E228" s="96"/>
      <c r="F228" s="103">
        <f>F227</f>
        <v>16582.899999999994</v>
      </c>
      <c r="G228" s="3">
        <f>G229</f>
        <v>3000</v>
      </c>
      <c r="H228" s="3">
        <f>H229</f>
        <v>3000</v>
      </c>
    </row>
    <row r="229" spans="1:8" ht="29.25" customHeight="1">
      <c r="A229" s="222" t="s">
        <v>81</v>
      </c>
      <c r="B229" s="53" t="s">
        <v>82</v>
      </c>
      <c r="C229" s="53"/>
      <c r="D229" s="95"/>
      <c r="E229" s="96"/>
      <c r="F229" s="103">
        <f>F230+F231</f>
        <v>916.5</v>
      </c>
      <c r="G229" s="5">
        <v>3000</v>
      </c>
      <c r="H229" s="5">
        <v>3000</v>
      </c>
    </row>
    <row r="230" spans="1:8" ht="17.25" customHeight="1">
      <c r="A230" s="243" t="s">
        <v>175</v>
      </c>
      <c r="B230" s="117" t="s">
        <v>82</v>
      </c>
      <c r="C230" s="117" t="s">
        <v>163</v>
      </c>
      <c r="D230" s="117" t="s">
        <v>44</v>
      </c>
      <c r="E230" s="117" t="s">
        <v>43</v>
      </c>
      <c r="F230" s="118">
        <f>896.2+8.8</f>
        <v>905</v>
      </c>
      <c r="G230" s="3">
        <f>G231</f>
        <v>30</v>
      </c>
      <c r="H230" s="3">
        <f>H231</f>
        <v>30</v>
      </c>
    </row>
    <row r="231" spans="1:8" ht="32.25" customHeight="1">
      <c r="A231" s="206" t="s">
        <v>168</v>
      </c>
      <c r="B231" s="60" t="s">
        <v>82</v>
      </c>
      <c r="C231" s="60" t="s">
        <v>161</v>
      </c>
      <c r="D231" s="60" t="s">
        <v>44</v>
      </c>
      <c r="E231" s="60" t="s">
        <v>43</v>
      </c>
      <c r="F231" s="109">
        <f>20.3-8.8</f>
        <v>11.5</v>
      </c>
      <c r="G231" s="5">
        <v>30</v>
      </c>
      <c r="H231" s="5">
        <v>30</v>
      </c>
    </row>
    <row r="232" spans="1:8" ht="32.25" customHeight="1">
      <c r="A232" s="184" t="s">
        <v>345</v>
      </c>
      <c r="B232" s="36" t="s">
        <v>344</v>
      </c>
      <c r="C232" s="171"/>
      <c r="D232" s="117"/>
      <c r="E232" s="117"/>
      <c r="F232" s="97">
        <f>F233</f>
        <v>75</v>
      </c>
      <c r="G232" s="29"/>
      <c r="H232" s="29"/>
    </row>
    <row r="233" spans="1:8" ht="20.25" customHeight="1">
      <c r="A233" s="197" t="s">
        <v>175</v>
      </c>
      <c r="B233" s="35" t="s">
        <v>344</v>
      </c>
      <c r="C233" s="151" t="s">
        <v>163</v>
      </c>
      <c r="D233" s="150" t="s">
        <v>41</v>
      </c>
      <c r="E233" s="150" t="s">
        <v>51</v>
      </c>
      <c r="F233" s="154">
        <v>75</v>
      </c>
      <c r="G233" s="29"/>
      <c r="H233" s="29"/>
    </row>
    <row r="234" spans="1:8" ht="32.25" customHeight="1">
      <c r="A234" s="184" t="s">
        <v>336</v>
      </c>
      <c r="B234" s="36" t="s">
        <v>337</v>
      </c>
      <c r="C234" s="171"/>
      <c r="D234" s="117"/>
      <c r="E234" s="117"/>
      <c r="F234" s="97">
        <f>F235</f>
        <v>207.9</v>
      </c>
      <c r="G234" s="29"/>
      <c r="H234" s="29"/>
    </row>
    <row r="235" spans="1:8" ht="21" customHeight="1">
      <c r="A235" s="253" t="s">
        <v>176</v>
      </c>
      <c r="B235" s="35" t="s">
        <v>337</v>
      </c>
      <c r="C235" s="151" t="s">
        <v>165</v>
      </c>
      <c r="D235" s="150" t="s">
        <v>46</v>
      </c>
      <c r="E235" s="150" t="s">
        <v>41</v>
      </c>
      <c r="F235" s="154">
        <v>207.9</v>
      </c>
      <c r="G235" s="29"/>
      <c r="H235" s="29"/>
    </row>
    <row r="236" spans="1:8" ht="17.25" customHeight="1">
      <c r="A236" s="242" t="s">
        <v>83</v>
      </c>
      <c r="B236" s="94" t="s">
        <v>84</v>
      </c>
      <c r="C236" s="175"/>
      <c r="D236" s="175"/>
      <c r="E236" s="176"/>
      <c r="F236" s="97">
        <f>SUM(F237:F237)</f>
        <v>1187.4</v>
      </c>
      <c r="G236" s="3">
        <f>G237</f>
        <v>5</v>
      </c>
      <c r="H236" s="3">
        <f>H237</f>
        <v>5</v>
      </c>
    </row>
    <row r="237" spans="1:8" ht="31.5">
      <c r="A237" s="201" t="s">
        <v>172</v>
      </c>
      <c r="B237" s="136" t="s">
        <v>84</v>
      </c>
      <c r="C237" s="35" t="s">
        <v>166</v>
      </c>
      <c r="D237" s="35" t="s">
        <v>50</v>
      </c>
      <c r="E237" s="35" t="s">
        <v>41</v>
      </c>
      <c r="F237" s="93">
        <v>1187.4</v>
      </c>
      <c r="G237" s="5">
        <v>5</v>
      </c>
      <c r="H237" s="5">
        <v>5</v>
      </c>
    </row>
    <row r="238" spans="1:8" ht="42" customHeight="1">
      <c r="A238" s="242" t="s">
        <v>149</v>
      </c>
      <c r="B238" s="94" t="s">
        <v>85</v>
      </c>
      <c r="C238" s="175"/>
      <c r="D238" s="175"/>
      <c r="E238" s="176"/>
      <c r="F238" s="97">
        <f>SUM(F239:F239)</f>
        <v>35.9</v>
      </c>
      <c r="G238" s="3" t="e">
        <f>G239+#REF!</f>
        <v>#REF!</v>
      </c>
      <c r="H238" s="3" t="e">
        <f>H239+#REF!</f>
        <v>#REF!</v>
      </c>
    </row>
    <row r="239" spans="1:8" ht="15.75">
      <c r="A239" s="201" t="s">
        <v>173</v>
      </c>
      <c r="B239" s="136" t="s">
        <v>85</v>
      </c>
      <c r="C239" s="35" t="s">
        <v>167</v>
      </c>
      <c r="D239" s="35" t="s">
        <v>50</v>
      </c>
      <c r="E239" s="35" t="s">
        <v>43</v>
      </c>
      <c r="F239" s="93">
        <f>50-14.1</f>
        <v>35.9</v>
      </c>
      <c r="G239" s="8">
        <v>1505</v>
      </c>
      <c r="H239" s="8">
        <v>1505</v>
      </c>
    </row>
    <row r="240" spans="1:8" ht="31.5" customHeight="1">
      <c r="A240" s="242" t="s">
        <v>327</v>
      </c>
      <c r="B240" s="94" t="s">
        <v>326</v>
      </c>
      <c r="C240" s="175"/>
      <c r="D240" s="175"/>
      <c r="E240" s="176"/>
      <c r="F240" s="97">
        <f>SUM(F241:F241)</f>
        <v>50</v>
      </c>
      <c r="G240" s="43"/>
      <c r="H240" s="43"/>
    </row>
    <row r="241" spans="1:8" ht="15.75">
      <c r="A241" s="201" t="s">
        <v>173</v>
      </c>
      <c r="B241" s="136" t="s">
        <v>326</v>
      </c>
      <c r="C241" s="35" t="s">
        <v>167</v>
      </c>
      <c r="D241" s="35" t="s">
        <v>50</v>
      </c>
      <c r="E241" s="35" t="s">
        <v>43</v>
      </c>
      <c r="F241" s="93">
        <v>50</v>
      </c>
      <c r="G241" s="43"/>
      <c r="H241" s="43"/>
    </row>
    <row r="242" spans="1:8" ht="32.25" customHeight="1">
      <c r="A242" s="244" t="s">
        <v>192</v>
      </c>
      <c r="B242" s="137" t="s">
        <v>86</v>
      </c>
      <c r="C242" s="70"/>
      <c r="D242" s="70"/>
      <c r="E242" s="70"/>
      <c r="F242" s="91">
        <f>F243</f>
        <v>5765.8</v>
      </c>
      <c r="G242" s="3">
        <f>G243</f>
        <v>1730</v>
      </c>
      <c r="H242" s="3">
        <f>H243</f>
        <v>1730</v>
      </c>
    </row>
    <row r="243" spans="1:8" ht="15.75">
      <c r="A243" s="201" t="s">
        <v>173</v>
      </c>
      <c r="B243" s="136" t="s">
        <v>86</v>
      </c>
      <c r="C243" s="35" t="s">
        <v>167</v>
      </c>
      <c r="D243" s="35" t="s">
        <v>50</v>
      </c>
      <c r="E243" s="35" t="s">
        <v>43</v>
      </c>
      <c r="F243" s="93">
        <f>5313.5+452.3</f>
        <v>5765.8</v>
      </c>
      <c r="G243" s="5">
        <v>1730</v>
      </c>
      <c r="H243" s="5">
        <v>1730</v>
      </c>
    </row>
    <row r="244" spans="1:8" ht="18.75" customHeight="1" hidden="1">
      <c r="A244" s="245" t="s">
        <v>91</v>
      </c>
      <c r="B244" s="94" t="s">
        <v>87</v>
      </c>
      <c r="C244" s="175"/>
      <c r="D244" s="175"/>
      <c r="E244" s="176"/>
      <c r="F244" s="97">
        <f>F245</f>
        <v>0</v>
      </c>
      <c r="G244" s="3">
        <f>SUM(G245:G248)</f>
        <v>11120</v>
      </c>
      <c r="H244" s="3">
        <f>SUM(H245:H248)</f>
        <v>11120</v>
      </c>
    </row>
    <row r="245" spans="1:8" ht="15.75" hidden="1">
      <c r="A245" s="201" t="s">
        <v>145</v>
      </c>
      <c r="B245" s="35" t="s">
        <v>87</v>
      </c>
      <c r="C245" s="35" t="s">
        <v>156</v>
      </c>
      <c r="D245" s="35" t="s">
        <v>51</v>
      </c>
      <c r="E245" s="35" t="s">
        <v>41</v>
      </c>
      <c r="F245" s="93">
        <v>0</v>
      </c>
      <c r="G245" s="8">
        <v>20</v>
      </c>
      <c r="H245" s="9">
        <v>20</v>
      </c>
    </row>
    <row r="246" spans="1:8" ht="31.5">
      <c r="A246" s="222" t="s">
        <v>90</v>
      </c>
      <c r="B246" s="53" t="s">
        <v>88</v>
      </c>
      <c r="C246" s="53"/>
      <c r="D246" s="95"/>
      <c r="E246" s="96"/>
      <c r="F246" s="103">
        <f>F247</f>
        <v>232</v>
      </c>
      <c r="G246" s="29"/>
      <c r="H246" s="30"/>
    </row>
    <row r="247" spans="1:8" ht="15.75">
      <c r="A247" s="197" t="s">
        <v>310</v>
      </c>
      <c r="B247" s="56" t="s">
        <v>88</v>
      </c>
      <c r="C247" s="56" t="s">
        <v>309</v>
      </c>
      <c r="D247" s="86" t="s">
        <v>41</v>
      </c>
      <c r="E247" s="86" t="s">
        <v>51</v>
      </c>
      <c r="F247" s="93">
        <f>300-5.7-62.3</f>
        <v>232</v>
      </c>
      <c r="G247" s="29"/>
      <c r="H247" s="30"/>
    </row>
    <row r="248" spans="1:8" ht="46.5" customHeight="1">
      <c r="A248" s="251" t="s">
        <v>311</v>
      </c>
      <c r="B248" s="53" t="s">
        <v>343</v>
      </c>
      <c r="C248" s="53"/>
      <c r="D248" s="95"/>
      <c r="E248" s="96"/>
      <c r="F248" s="103">
        <f>F249</f>
        <v>99.5</v>
      </c>
      <c r="G248" s="5">
        <v>11100</v>
      </c>
      <c r="H248" s="11">
        <v>11100</v>
      </c>
    </row>
    <row r="249" spans="1:8" ht="21.75" customHeight="1">
      <c r="A249" s="253" t="s">
        <v>310</v>
      </c>
      <c r="B249" s="56" t="s">
        <v>343</v>
      </c>
      <c r="C249" s="56" t="s">
        <v>309</v>
      </c>
      <c r="D249" s="86" t="s">
        <v>41</v>
      </c>
      <c r="E249" s="86" t="s">
        <v>51</v>
      </c>
      <c r="F249" s="93">
        <f>101.7-3.4+1.2</f>
        <v>99.5</v>
      </c>
      <c r="G249" s="5">
        <v>17.9</v>
      </c>
      <c r="H249" s="11">
        <v>17.9</v>
      </c>
    </row>
    <row r="250" spans="1:8" ht="15.75">
      <c r="A250" s="200" t="s">
        <v>89</v>
      </c>
      <c r="B250" s="53" t="s">
        <v>92</v>
      </c>
      <c r="C250" s="53"/>
      <c r="D250" s="95"/>
      <c r="E250" s="96"/>
      <c r="F250" s="103">
        <f>F251</f>
        <v>501.5</v>
      </c>
      <c r="G250" s="62"/>
      <c r="H250" s="62"/>
    </row>
    <row r="251" spans="1:8" ht="15.75">
      <c r="A251" s="201" t="s">
        <v>146</v>
      </c>
      <c r="B251" s="56" t="s">
        <v>92</v>
      </c>
      <c r="C251" s="56" t="s">
        <v>143</v>
      </c>
      <c r="D251" s="86" t="s">
        <v>41</v>
      </c>
      <c r="E251" s="86" t="s">
        <v>48</v>
      </c>
      <c r="F251" s="93">
        <f>751.5-250</f>
        <v>501.5</v>
      </c>
      <c r="G251" s="62"/>
      <c r="H251" s="62"/>
    </row>
    <row r="252" spans="1:8" ht="31.5">
      <c r="A252" s="251" t="s">
        <v>312</v>
      </c>
      <c r="B252" s="257" t="s">
        <v>314</v>
      </c>
      <c r="C252" s="53"/>
      <c r="D252" s="95"/>
      <c r="E252" s="96"/>
      <c r="F252" s="103">
        <f>F253</f>
        <v>5.7</v>
      </c>
      <c r="G252" s="62"/>
      <c r="H252" s="62"/>
    </row>
    <row r="253" spans="1:8" ht="15.75">
      <c r="A253" s="253" t="s">
        <v>313</v>
      </c>
      <c r="B253" s="258" t="s">
        <v>314</v>
      </c>
      <c r="C253" s="56" t="s">
        <v>315</v>
      </c>
      <c r="D253" s="86" t="s">
        <v>41</v>
      </c>
      <c r="E253" s="86" t="s">
        <v>51</v>
      </c>
      <c r="F253" s="93">
        <v>5.7</v>
      </c>
      <c r="G253" s="62"/>
      <c r="H253" s="62"/>
    </row>
    <row r="254" spans="1:6" ht="32.25" customHeight="1">
      <c r="A254" s="200" t="s">
        <v>194</v>
      </c>
      <c r="B254" s="53" t="s">
        <v>93</v>
      </c>
      <c r="C254" s="53"/>
      <c r="D254" s="95"/>
      <c r="E254" s="96"/>
      <c r="F254" s="103">
        <f>F255</f>
        <v>1154.4</v>
      </c>
    </row>
    <row r="255" spans="1:6" ht="31.5">
      <c r="A255" s="201" t="s">
        <v>150</v>
      </c>
      <c r="B255" s="56" t="s">
        <v>93</v>
      </c>
      <c r="C255" s="56" t="s">
        <v>161</v>
      </c>
      <c r="D255" s="86" t="s">
        <v>41</v>
      </c>
      <c r="E255" s="86" t="s">
        <v>51</v>
      </c>
      <c r="F255" s="93">
        <v>1154.4</v>
      </c>
    </row>
    <row r="256" spans="1:6" ht="15.75" customHeight="1">
      <c r="A256" s="251" t="s">
        <v>283</v>
      </c>
      <c r="B256" s="53" t="s">
        <v>284</v>
      </c>
      <c r="C256" s="112"/>
      <c r="D256" s="90"/>
      <c r="E256" s="90"/>
      <c r="F256" s="91">
        <f>F257</f>
        <v>33.8</v>
      </c>
    </row>
    <row r="257" spans="1:6" ht="30.75" customHeight="1">
      <c r="A257" s="253" t="s">
        <v>168</v>
      </c>
      <c r="B257" s="177" t="s">
        <v>284</v>
      </c>
      <c r="C257" s="56" t="s">
        <v>161</v>
      </c>
      <c r="D257" s="86" t="s">
        <v>41</v>
      </c>
      <c r="E257" s="86" t="s">
        <v>51</v>
      </c>
      <c r="F257" s="93">
        <f>16.8+17</f>
        <v>33.8</v>
      </c>
    </row>
    <row r="258" spans="1:6" ht="18" customHeight="1">
      <c r="A258" s="222" t="s">
        <v>94</v>
      </c>
      <c r="B258" s="53" t="s">
        <v>95</v>
      </c>
      <c r="C258" s="53"/>
      <c r="D258" s="95"/>
      <c r="E258" s="96"/>
      <c r="F258" s="103">
        <f>F259</f>
        <v>523.3</v>
      </c>
    </row>
    <row r="259" spans="1:6" ht="30.75" customHeight="1">
      <c r="A259" s="197" t="s">
        <v>150</v>
      </c>
      <c r="B259" s="56" t="s">
        <v>95</v>
      </c>
      <c r="C259" s="56" t="s">
        <v>161</v>
      </c>
      <c r="D259" s="86" t="s">
        <v>41</v>
      </c>
      <c r="E259" s="86" t="s">
        <v>51</v>
      </c>
      <c r="F259" s="93">
        <f>504+19.3</f>
        <v>523.3</v>
      </c>
    </row>
    <row r="260" spans="1:6" ht="31.5" customHeight="1">
      <c r="A260" s="222" t="s">
        <v>98</v>
      </c>
      <c r="B260" s="53" t="s">
        <v>96</v>
      </c>
      <c r="C260" s="53"/>
      <c r="D260" s="95"/>
      <c r="E260" s="96"/>
      <c r="F260" s="103">
        <f>F261</f>
        <v>67.39999999999998</v>
      </c>
    </row>
    <row r="261" spans="1:6" ht="31.5">
      <c r="A261" s="197" t="s">
        <v>168</v>
      </c>
      <c r="B261" s="56" t="s">
        <v>96</v>
      </c>
      <c r="C261" s="56" t="s">
        <v>161</v>
      </c>
      <c r="D261" s="86" t="s">
        <v>41</v>
      </c>
      <c r="E261" s="86" t="s">
        <v>51</v>
      </c>
      <c r="F261" s="93">
        <f>250-19.3-163.3</f>
        <v>67.39999999999998</v>
      </c>
    </row>
    <row r="262" spans="1:6" ht="13.5" customHeight="1">
      <c r="A262" s="245" t="s">
        <v>97</v>
      </c>
      <c r="B262" s="94" t="s">
        <v>99</v>
      </c>
      <c r="C262" s="175"/>
      <c r="D262" s="175"/>
      <c r="E262" s="176"/>
      <c r="F262" s="97">
        <f>F263</f>
        <v>215</v>
      </c>
    </row>
    <row r="263" spans="1:6" ht="29.25" customHeight="1">
      <c r="A263" s="197" t="s">
        <v>168</v>
      </c>
      <c r="B263" s="35" t="s">
        <v>99</v>
      </c>
      <c r="C263" s="35" t="s">
        <v>161</v>
      </c>
      <c r="D263" s="35" t="s">
        <v>42</v>
      </c>
      <c r="E263" s="35" t="s">
        <v>49</v>
      </c>
      <c r="F263" s="93">
        <f>300-85</f>
        <v>215</v>
      </c>
    </row>
    <row r="264" spans="1:6" ht="32.25" customHeight="1">
      <c r="A264" s="222" t="s">
        <v>100</v>
      </c>
      <c r="B264" s="53" t="s">
        <v>101</v>
      </c>
      <c r="C264" s="53"/>
      <c r="D264" s="95"/>
      <c r="E264" s="96"/>
      <c r="F264" s="103">
        <f>F265</f>
        <v>131.3</v>
      </c>
    </row>
    <row r="265" spans="1:6" ht="29.25" customHeight="1">
      <c r="A265" s="197" t="s">
        <v>168</v>
      </c>
      <c r="B265" s="56" t="s">
        <v>101</v>
      </c>
      <c r="C265" s="56" t="s">
        <v>161</v>
      </c>
      <c r="D265" s="86" t="s">
        <v>41</v>
      </c>
      <c r="E265" s="86" t="s">
        <v>51</v>
      </c>
      <c r="F265" s="93">
        <f>168-17-19.7</f>
        <v>131.3</v>
      </c>
    </row>
    <row r="266" spans="1:6" ht="15.75" customHeight="1">
      <c r="A266" s="210" t="s">
        <v>102</v>
      </c>
      <c r="B266" s="59" t="s">
        <v>103</v>
      </c>
      <c r="C266" s="112"/>
      <c r="D266" s="90"/>
      <c r="E266" s="90"/>
      <c r="F266" s="91">
        <f>F267</f>
        <v>228.9</v>
      </c>
    </row>
    <row r="267" spans="1:6" ht="36" customHeight="1">
      <c r="A267" s="246" t="s">
        <v>168</v>
      </c>
      <c r="B267" s="60" t="s">
        <v>103</v>
      </c>
      <c r="C267" s="56" t="s">
        <v>161</v>
      </c>
      <c r="D267" s="86" t="s">
        <v>40</v>
      </c>
      <c r="E267" s="86" t="s">
        <v>41</v>
      </c>
      <c r="F267" s="93">
        <f>137.2+140+35-73.4-8.7-1.2</f>
        <v>228.9</v>
      </c>
    </row>
    <row r="268" spans="1:6" ht="25.5" customHeight="1">
      <c r="A268" s="210" t="s">
        <v>213</v>
      </c>
      <c r="B268" s="59" t="s">
        <v>104</v>
      </c>
      <c r="C268" s="112"/>
      <c r="D268" s="90"/>
      <c r="E268" s="90"/>
      <c r="F268" s="91">
        <f>F269</f>
        <v>362.5</v>
      </c>
    </row>
    <row r="269" spans="1:6" ht="27.75" customHeight="1">
      <c r="A269" s="211" t="s">
        <v>168</v>
      </c>
      <c r="B269" s="56" t="s">
        <v>104</v>
      </c>
      <c r="C269" s="56" t="s">
        <v>161</v>
      </c>
      <c r="D269" s="86" t="s">
        <v>40</v>
      </c>
      <c r="E269" s="86" t="s">
        <v>44</v>
      </c>
      <c r="F269" s="93">
        <f>50+225+95-7.5</f>
        <v>362.5</v>
      </c>
    </row>
    <row r="270" spans="1:6" ht="31.5" customHeight="1">
      <c r="A270" s="184" t="s">
        <v>316</v>
      </c>
      <c r="B270" s="185" t="s">
        <v>317</v>
      </c>
      <c r="C270" s="112"/>
      <c r="D270" s="90"/>
      <c r="E270" s="90"/>
      <c r="F270" s="91">
        <f>F271+F272</f>
        <v>700</v>
      </c>
    </row>
    <row r="271" spans="1:6" ht="33" customHeight="1">
      <c r="A271" s="189" t="s">
        <v>168</v>
      </c>
      <c r="B271" s="186" t="s">
        <v>317</v>
      </c>
      <c r="C271" s="105" t="s">
        <v>161</v>
      </c>
      <c r="D271" s="104" t="s">
        <v>46</v>
      </c>
      <c r="E271" s="104" t="s">
        <v>41</v>
      </c>
      <c r="F271" s="106">
        <v>300</v>
      </c>
    </row>
    <row r="272" spans="1:6" ht="24.75" customHeight="1">
      <c r="A272" s="247" t="s">
        <v>177</v>
      </c>
      <c r="B272" s="187" t="s">
        <v>317</v>
      </c>
      <c r="C272" s="56" t="s">
        <v>165</v>
      </c>
      <c r="D272" s="86" t="s">
        <v>46</v>
      </c>
      <c r="E272" s="86" t="s">
        <v>41</v>
      </c>
      <c r="F272" s="93">
        <v>400</v>
      </c>
    </row>
    <row r="273" spans="1:6" ht="36" customHeight="1">
      <c r="A273" s="203" t="s">
        <v>318</v>
      </c>
      <c r="B273" s="185" t="s">
        <v>319</v>
      </c>
      <c r="C273" s="112"/>
      <c r="D273" s="90"/>
      <c r="E273" s="90"/>
      <c r="F273" s="91">
        <f>F274</f>
        <v>550</v>
      </c>
    </row>
    <row r="274" spans="1:6" ht="32.25" customHeight="1">
      <c r="A274" s="188" t="s">
        <v>168</v>
      </c>
      <c r="B274" s="256" t="s">
        <v>319</v>
      </c>
      <c r="C274" s="60" t="s">
        <v>161</v>
      </c>
      <c r="D274" s="108" t="s">
        <v>40</v>
      </c>
      <c r="E274" s="108" t="s">
        <v>43</v>
      </c>
      <c r="F274" s="109">
        <v>550</v>
      </c>
    </row>
    <row r="275" spans="1:6" ht="47.25" customHeight="1">
      <c r="A275" s="251" t="s">
        <v>338</v>
      </c>
      <c r="B275" s="94" t="s">
        <v>339</v>
      </c>
      <c r="C275" s="171"/>
      <c r="D275" s="171"/>
      <c r="E275" s="171"/>
      <c r="F275" s="97">
        <f>F276</f>
        <v>1482.5</v>
      </c>
    </row>
    <row r="276" spans="1:6" ht="18.75" customHeight="1">
      <c r="A276" s="267" t="s">
        <v>170</v>
      </c>
      <c r="B276" s="258" t="s">
        <v>339</v>
      </c>
      <c r="C276" s="56" t="s">
        <v>160</v>
      </c>
      <c r="D276" s="86" t="s">
        <v>40</v>
      </c>
      <c r="E276" s="86" t="s">
        <v>41</v>
      </c>
      <c r="F276" s="93">
        <v>1482.5</v>
      </c>
    </row>
    <row r="277" spans="1:6" ht="46.5" customHeight="1">
      <c r="A277" s="184" t="s">
        <v>291</v>
      </c>
      <c r="B277" s="149" t="s">
        <v>292</v>
      </c>
      <c r="C277" s="112"/>
      <c r="D277" s="90"/>
      <c r="E277" s="90"/>
      <c r="F277" s="91">
        <f>F278</f>
        <v>541.7</v>
      </c>
    </row>
    <row r="278" spans="1:6" ht="15.75" customHeight="1">
      <c r="A278" s="188" t="s">
        <v>170</v>
      </c>
      <c r="B278" s="56" t="s">
        <v>292</v>
      </c>
      <c r="C278" s="56" t="s">
        <v>160</v>
      </c>
      <c r="D278" s="86" t="s">
        <v>42</v>
      </c>
      <c r="E278" s="86" t="s">
        <v>49</v>
      </c>
      <c r="F278" s="93">
        <v>541.7</v>
      </c>
    </row>
    <row r="279" spans="1:6" ht="31.5">
      <c r="A279" s="248" t="s">
        <v>106</v>
      </c>
      <c r="B279" s="53" t="s">
        <v>105</v>
      </c>
      <c r="C279" s="53"/>
      <c r="D279" s="95"/>
      <c r="E279" s="96"/>
      <c r="F279" s="103">
        <f>F280</f>
        <v>415.3</v>
      </c>
    </row>
    <row r="280" spans="1:6" ht="15.75">
      <c r="A280" s="197" t="s">
        <v>189</v>
      </c>
      <c r="B280" s="56" t="s">
        <v>105</v>
      </c>
      <c r="C280" s="56" t="s">
        <v>190</v>
      </c>
      <c r="D280" s="86" t="s">
        <v>41</v>
      </c>
      <c r="E280" s="86" t="s">
        <v>52</v>
      </c>
      <c r="F280" s="93">
        <v>415.3</v>
      </c>
    </row>
    <row r="281" spans="1:6" ht="31.5">
      <c r="A281" s="222" t="s">
        <v>108</v>
      </c>
      <c r="B281" s="53" t="s">
        <v>107</v>
      </c>
      <c r="C281" s="53"/>
      <c r="D281" s="95"/>
      <c r="E281" s="96"/>
      <c r="F281" s="103">
        <f>F282</f>
        <v>244.3</v>
      </c>
    </row>
    <row r="282" spans="1:6" ht="15.75">
      <c r="A282" s="197" t="s">
        <v>189</v>
      </c>
      <c r="B282" s="56" t="s">
        <v>107</v>
      </c>
      <c r="C282" s="56" t="s">
        <v>190</v>
      </c>
      <c r="D282" s="86" t="s">
        <v>41</v>
      </c>
      <c r="E282" s="86" t="s">
        <v>42</v>
      </c>
      <c r="F282" s="93">
        <v>244.3</v>
      </c>
    </row>
    <row r="283" spans="1:6" ht="31.5">
      <c r="A283" s="227" t="s">
        <v>109</v>
      </c>
      <c r="B283" s="111" t="s">
        <v>111</v>
      </c>
      <c r="C283" s="111"/>
      <c r="D283" s="83"/>
      <c r="E283" s="84"/>
      <c r="F283" s="103">
        <f>F284</f>
        <v>399.8</v>
      </c>
    </row>
    <row r="284" spans="1:6" ht="15.75">
      <c r="A284" s="197" t="s">
        <v>189</v>
      </c>
      <c r="B284" s="56" t="s">
        <v>111</v>
      </c>
      <c r="C284" s="56" t="s">
        <v>190</v>
      </c>
      <c r="D284" s="86" t="s">
        <v>41</v>
      </c>
      <c r="E284" s="86" t="s">
        <v>42</v>
      </c>
      <c r="F284" s="93">
        <v>399.8</v>
      </c>
    </row>
    <row r="285" spans="1:6" ht="47.25">
      <c r="A285" s="196" t="s">
        <v>110</v>
      </c>
      <c r="B285" s="111" t="s">
        <v>112</v>
      </c>
      <c r="C285" s="150"/>
      <c r="D285" s="90"/>
      <c r="E285" s="84"/>
      <c r="F285" s="152">
        <f>SUM(F286:F286)</f>
        <v>230.3</v>
      </c>
    </row>
    <row r="286" spans="1:6" ht="15.75">
      <c r="A286" s="243" t="s">
        <v>189</v>
      </c>
      <c r="B286" s="117" t="s">
        <v>112</v>
      </c>
      <c r="C286" s="117" t="s">
        <v>190</v>
      </c>
      <c r="D286" s="171" t="s">
        <v>41</v>
      </c>
      <c r="E286" s="171" t="s">
        <v>43</v>
      </c>
      <c r="F286" s="178">
        <v>230.3</v>
      </c>
    </row>
    <row r="287" spans="1:6" ht="31.5">
      <c r="A287" s="227" t="s">
        <v>113</v>
      </c>
      <c r="B287" s="111" t="s">
        <v>114</v>
      </c>
      <c r="C287" s="111"/>
      <c r="D287" s="83"/>
      <c r="E287" s="84"/>
      <c r="F287" s="179">
        <f>F288</f>
        <v>225.2</v>
      </c>
    </row>
    <row r="288" spans="1:6" ht="16.5" thickBot="1">
      <c r="A288" s="206" t="s">
        <v>189</v>
      </c>
      <c r="B288" s="56" t="s">
        <v>114</v>
      </c>
      <c r="C288" s="56" t="s">
        <v>190</v>
      </c>
      <c r="D288" s="86" t="s">
        <v>43</v>
      </c>
      <c r="E288" s="86" t="s">
        <v>45</v>
      </c>
      <c r="F288" s="93">
        <v>225.2</v>
      </c>
    </row>
    <row r="289" spans="1:6" ht="19.5" thickBot="1">
      <c r="A289" s="249" t="s">
        <v>155</v>
      </c>
      <c r="B289" s="180"/>
      <c r="C289" s="180"/>
      <c r="D289" s="180"/>
      <c r="E289" s="180"/>
      <c r="F289" s="181">
        <f>F16+F109+F154+F182+F186+F191+F226</f>
        <v>233584.60000000003</v>
      </c>
    </row>
  </sheetData>
  <sheetProtection/>
  <autoFilter ref="A14:H279"/>
  <mergeCells count="10">
    <mergeCell ref="A12:H12"/>
    <mergeCell ref="A10:H10"/>
    <mergeCell ref="A9:H9"/>
    <mergeCell ref="A11:H11"/>
    <mergeCell ref="A8:H8"/>
    <mergeCell ref="A2:H2"/>
    <mergeCell ref="A3:H3"/>
    <mergeCell ref="A4:H4"/>
    <mergeCell ref="A5:H5"/>
    <mergeCell ref="C7:F7"/>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2016-09-12T13:51:27Z</cp:lastPrinted>
  <dcterms:created xsi:type="dcterms:W3CDTF">2003-12-05T21:14:57Z</dcterms:created>
  <dcterms:modified xsi:type="dcterms:W3CDTF">2016-12-26T17:45:25Z</dcterms:modified>
  <cp:category/>
  <cp:version/>
  <cp:contentType/>
  <cp:contentStatus/>
</cp:coreProperties>
</file>